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eshfel365.sharepoint.com/sites/common1/Shared Documents/NEW SYSTEM/WAPA/Stocks/WAPA Stocks/Send/"/>
    </mc:Choice>
  </mc:AlternateContent>
  <xr:revisionPtr revIDLastSave="901" documentId="13_ncr:4000b_{F8A3B63F-A9C0-48C0-BAA4-CDCCA76BBADC}" xr6:coauthVersionLast="47" xr6:coauthVersionMax="47" xr10:uidLastSave="{E5F99BD9-A35E-4E0E-99CF-6134933AEA1C}"/>
  <bookViews>
    <workbookView xWindow="-108" yWindow="-108" windowWidth="23256" windowHeight="12456" tabRatio="725" activeTab="2" xr2:uid="{00000000-000D-0000-FFFF-FFFF00000000}"/>
  </bookViews>
  <sheets>
    <sheet name="Intro" sheetId="22" r:id="rId1"/>
    <sheet name="US" sheetId="24" r:id="rId2"/>
    <sheet name="EU - country" sheetId="25" r:id="rId3"/>
    <sheet name="EU - variety" sheetId="26" r:id="rId4"/>
    <sheet name="Austria" sheetId="27" r:id="rId5"/>
    <sheet name="Belgium" sheetId="28" r:id="rId6"/>
    <sheet name="Czech Republic" sheetId="29" r:id="rId7"/>
    <sheet name="Denmark" sheetId="30" r:id="rId8"/>
    <sheet name="France" sheetId="31" r:id="rId9"/>
    <sheet name="Germany" sheetId="32" r:id="rId10"/>
    <sheet name="Italy" sheetId="33" r:id="rId11"/>
    <sheet name="Sheet15" sheetId="38" state="hidden" r:id="rId12"/>
    <sheet name="Poland" sheetId="39" r:id="rId13"/>
    <sheet name="Portugal" sheetId="41" r:id="rId14"/>
    <sheet name="Slovakia" sheetId="42" state="hidden" r:id="rId15"/>
    <sheet name="Spain" sheetId="34" r:id="rId16"/>
    <sheet name="Switzerland" sheetId="35" r:id="rId17"/>
    <sheet name="Netherlands" sheetId="36" r:id="rId18"/>
    <sheet name="UK" sheetId="37" r:id="rId19"/>
  </sheets>
  <definedNames>
    <definedName name="_xlnm.Print_Area" localSheetId="4">Austria!$A$1:$A$21</definedName>
    <definedName name="_xlnm.Print_Area" localSheetId="7">Denmark!$A$1:$U$20</definedName>
    <definedName name="_xlnm.Print_Area" localSheetId="2">'EU - country'!$A$1:$X$37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5" l="1"/>
  <c r="E20" i="29" l="1"/>
  <c r="F12" i="29"/>
  <c r="E11" i="29"/>
  <c r="E12" i="29" s="1"/>
  <c r="F25" i="39" l="1"/>
  <c r="E25" i="39"/>
  <c r="F18" i="39"/>
  <c r="E18" i="39"/>
  <c r="F28" i="35" l="1"/>
  <c r="E28" i="35"/>
  <c r="F19" i="35"/>
  <c r="E19" i="35"/>
  <c r="F29" i="33" l="1"/>
  <c r="E29" i="33"/>
  <c r="F20" i="33" l="1"/>
  <c r="F19" i="33"/>
  <c r="E19" i="33"/>
  <c r="E20" i="33" s="1"/>
  <c r="F15" i="36" l="1"/>
  <c r="E15" i="36"/>
  <c r="F8" i="36"/>
  <c r="E8" i="36"/>
  <c r="F26" i="32"/>
  <c r="E26" i="32"/>
  <c r="I32" i="25" l="1"/>
  <c r="H32" i="25"/>
  <c r="G32" i="25"/>
  <c r="F43" i="26"/>
  <c r="F42" i="26"/>
  <c r="F41" i="26"/>
  <c r="F40" i="26"/>
  <c r="F39" i="26"/>
  <c r="F38" i="26"/>
  <c r="F37" i="26"/>
  <c r="F36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E43" i="26"/>
  <c r="E42" i="26"/>
  <c r="E41" i="26"/>
  <c r="E40" i="26"/>
  <c r="E39" i="26"/>
  <c r="E38" i="26"/>
  <c r="E37" i="26"/>
  <c r="E36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E2" i="26"/>
  <c r="F31" i="25"/>
  <c r="F30" i="25"/>
  <c r="F29" i="25"/>
  <c r="F27" i="25"/>
  <c r="F26" i="25"/>
  <c r="F25" i="25"/>
  <c r="F24" i="25"/>
  <c r="F22" i="25"/>
  <c r="F14" i="25"/>
  <c r="F13" i="25"/>
  <c r="F12" i="25"/>
  <c r="F9" i="25"/>
  <c r="F8" i="25"/>
  <c r="F2" i="25"/>
  <c r="E14" i="25"/>
  <c r="E13" i="25"/>
  <c r="E9" i="25"/>
  <c r="E8" i="25"/>
  <c r="E22" i="25"/>
  <c r="E24" i="25"/>
  <c r="E25" i="25"/>
  <c r="E26" i="25"/>
  <c r="E27" i="25"/>
  <c r="E30" i="25"/>
  <c r="E31" i="25"/>
  <c r="C44" i="26" l="1"/>
  <c r="C32" i="26"/>
  <c r="E44" i="26"/>
  <c r="F44" i="26"/>
  <c r="F32" i="26"/>
  <c r="E32" i="26"/>
  <c r="G14" i="25"/>
  <c r="G16" i="25" s="1"/>
  <c r="G13" i="25"/>
  <c r="G12" i="25"/>
  <c r="G9" i="25"/>
  <c r="G8" i="25"/>
  <c r="G7" i="25"/>
  <c r="G6" i="25"/>
  <c r="G5" i="25"/>
  <c r="G4" i="25"/>
  <c r="G3" i="25"/>
  <c r="G2" i="25"/>
  <c r="D44" i="26" l="1"/>
  <c r="D32" i="26"/>
  <c r="E19" i="37" l="1"/>
  <c r="B18" i="37"/>
  <c r="B17" i="37"/>
  <c r="B16" i="37"/>
  <c r="E12" i="37"/>
  <c r="E15" i="25" s="1"/>
  <c r="B11" i="37"/>
  <c r="B10" i="37"/>
  <c r="B9" i="37"/>
  <c r="B8" i="37"/>
  <c r="B7" i="37"/>
  <c r="B6" i="37"/>
  <c r="B5" i="37"/>
  <c r="B4" i="37"/>
  <c r="B3" i="37"/>
  <c r="B2" i="37"/>
  <c r="B15" i="36"/>
  <c r="B14" i="36"/>
  <c r="B13" i="36"/>
  <c r="B12" i="36"/>
  <c r="B8" i="36"/>
  <c r="B7" i="36"/>
  <c r="B6" i="36"/>
  <c r="B5" i="36"/>
  <c r="B4" i="36"/>
  <c r="B3" i="36"/>
  <c r="B2" i="36"/>
  <c r="B28" i="35"/>
  <c r="B27" i="35"/>
  <c r="B26" i="35"/>
  <c r="B25" i="35"/>
  <c r="B24" i="35"/>
  <c r="B23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B3" i="35"/>
  <c r="B2" i="35"/>
  <c r="E17" i="34"/>
  <c r="E29" i="25" s="1"/>
  <c r="B16" i="34"/>
  <c r="B15" i="34"/>
  <c r="B14" i="34"/>
  <c r="B13" i="34"/>
  <c r="B12" i="34"/>
  <c r="E8" i="34"/>
  <c r="E12" i="25" s="1"/>
  <c r="B12" i="25" s="1"/>
  <c r="B7" i="34"/>
  <c r="B6" i="34"/>
  <c r="B5" i="34"/>
  <c r="B4" i="34"/>
  <c r="B3" i="34"/>
  <c r="B2" i="34"/>
  <c r="B14" i="41"/>
  <c r="B13" i="41"/>
  <c r="B9" i="41"/>
  <c r="B8" i="41"/>
  <c r="B7" i="41"/>
  <c r="B6" i="41"/>
  <c r="B5" i="41"/>
  <c r="B4" i="41"/>
  <c r="B3" i="41"/>
  <c r="B2" i="41"/>
  <c r="B25" i="39"/>
  <c r="B24" i="39"/>
  <c r="B23" i="39"/>
  <c r="B22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B4" i="39"/>
  <c r="B3" i="39"/>
  <c r="B2" i="39"/>
  <c r="B29" i="33"/>
  <c r="B28" i="33"/>
  <c r="B27" i="33"/>
  <c r="B26" i="33"/>
  <c r="B25" i="33"/>
  <c r="B24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B3" i="33"/>
  <c r="B2" i="33"/>
  <c r="B26" i="32"/>
  <c r="B25" i="32"/>
  <c r="E21" i="32"/>
  <c r="E7" i="25" s="1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B3" i="32"/>
  <c r="B2" i="32"/>
  <c r="E38" i="31"/>
  <c r="B37" i="31"/>
  <c r="B36" i="31"/>
  <c r="B35" i="31"/>
  <c r="B34" i="31"/>
  <c r="B33" i="31"/>
  <c r="B32" i="31"/>
  <c r="B31" i="31"/>
  <c r="B30" i="31"/>
  <c r="E26" i="31"/>
  <c r="E6" i="25" s="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B3" i="31"/>
  <c r="B2" i="31"/>
  <c r="B27" i="30"/>
  <c r="B26" i="30"/>
  <c r="B25" i="30"/>
  <c r="B24" i="30"/>
  <c r="E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B3" i="30"/>
  <c r="B2" i="30"/>
  <c r="E21" i="29"/>
  <c r="B20" i="29"/>
  <c r="B19" i="29"/>
  <c r="B18" i="29"/>
  <c r="B17" i="29"/>
  <c r="B16" i="29"/>
  <c r="E4" i="25"/>
  <c r="C16" i="25" s="1"/>
  <c r="B11" i="29"/>
  <c r="B10" i="29"/>
  <c r="B9" i="29"/>
  <c r="B8" i="29"/>
  <c r="B7" i="29"/>
  <c r="B6" i="29"/>
  <c r="B5" i="29"/>
  <c r="B4" i="29"/>
  <c r="B3" i="29"/>
  <c r="B2" i="29"/>
  <c r="E20" i="28"/>
  <c r="B19" i="28"/>
  <c r="B18" i="28"/>
  <c r="B17" i="28"/>
  <c r="B16" i="28"/>
  <c r="B15" i="28"/>
  <c r="E10" i="28"/>
  <c r="B9" i="28"/>
  <c r="B8" i="28"/>
  <c r="B7" i="28"/>
  <c r="B6" i="28"/>
  <c r="B5" i="28"/>
  <c r="B4" i="28"/>
  <c r="B3" i="28"/>
  <c r="B2" i="28"/>
  <c r="E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3" i="27"/>
  <c r="B2" i="27"/>
  <c r="B43" i="26"/>
  <c r="B42" i="26"/>
  <c r="B41" i="26"/>
  <c r="B40" i="26"/>
  <c r="B39" i="26"/>
  <c r="B38" i="26"/>
  <c r="B37" i="26"/>
  <c r="B36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3" i="26"/>
  <c r="B2" i="26"/>
  <c r="B31" i="25"/>
  <c r="B30" i="25"/>
  <c r="B29" i="25"/>
  <c r="B28" i="25"/>
  <c r="B27" i="25"/>
  <c r="B26" i="25"/>
  <c r="B25" i="25"/>
  <c r="B24" i="25"/>
  <c r="B22" i="25"/>
  <c r="B14" i="25"/>
  <c r="B13" i="25"/>
  <c r="B11" i="25"/>
  <c r="B10" i="25"/>
  <c r="B9" i="25"/>
  <c r="B8" i="25"/>
  <c r="E41" i="24"/>
  <c r="B40" i="24"/>
  <c r="B39" i="24"/>
  <c r="B38" i="24"/>
  <c r="B37" i="24"/>
  <c r="B36" i="24"/>
  <c r="B35" i="24"/>
  <c r="B34" i="24"/>
  <c r="B33" i="24"/>
  <c r="B32" i="24"/>
  <c r="B31" i="24"/>
  <c r="E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3" i="24"/>
  <c r="B2" i="24"/>
  <c r="E5" i="25" l="1"/>
  <c r="E23" i="25"/>
  <c r="B17" i="34"/>
  <c r="B8" i="34"/>
  <c r="E21" i="25"/>
  <c r="E20" i="25"/>
  <c r="E3" i="25"/>
  <c r="B21" i="27"/>
  <c r="E2" i="25"/>
  <c r="F19" i="37"/>
  <c r="F32" i="25" s="1"/>
  <c r="B32" i="25" s="1"/>
  <c r="F12" i="37"/>
  <c r="B19" i="37" l="1"/>
  <c r="F15" i="25"/>
  <c r="B15" i="25" s="1"/>
  <c r="B12" i="37"/>
  <c r="E33" i="25"/>
  <c r="C33" i="25"/>
  <c r="E16" i="25"/>
  <c r="B2" i="25"/>
  <c r="B44" i="26" l="1"/>
  <c r="B32" i="26" l="1"/>
  <c r="F8" i="34"/>
  <c r="F17" i="34"/>
  <c r="F21" i="32"/>
  <c r="F38" i="31"/>
  <c r="F26" i="31"/>
  <c r="F27" i="30"/>
  <c r="F20" i="30"/>
  <c r="F21" i="29"/>
  <c r="F20" i="28"/>
  <c r="F10" i="28"/>
  <c r="F21" i="27"/>
  <c r="F41" i="24"/>
  <c r="F27" i="24"/>
  <c r="B18" i="42"/>
  <c r="B17" i="42"/>
  <c r="B16" i="42"/>
  <c r="B15" i="42"/>
  <c r="B11" i="42"/>
  <c r="B10" i="42"/>
  <c r="B9" i="42"/>
  <c r="B8" i="42"/>
  <c r="B7" i="42"/>
  <c r="B6" i="42"/>
  <c r="B5" i="42"/>
  <c r="B4" i="42"/>
  <c r="B3" i="42"/>
  <c r="B2" i="42"/>
  <c r="B27" i="24" l="1"/>
  <c r="F5" i="25"/>
  <c r="B20" i="30"/>
  <c r="F23" i="25"/>
  <c r="B38" i="31"/>
  <c r="F6" i="25"/>
  <c r="B26" i="31"/>
  <c r="B41" i="24"/>
  <c r="F7" i="25"/>
  <c r="B21" i="32"/>
  <c r="F21" i="25"/>
  <c r="B21" i="29"/>
  <c r="F4" i="25"/>
  <c r="B12" i="29"/>
  <c r="F20" i="25"/>
  <c r="B20" i="28"/>
  <c r="F3" i="25"/>
  <c r="B10" i="28"/>
  <c r="G27" i="24"/>
  <c r="G15" i="36"/>
  <c r="G8" i="36"/>
  <c r="G21" i="32"/>
  <c r="B5" i="25" l="1"/>
  <c r="B23" i="25"/>
  <c r="B6" i="25"/>
  <c r="B7" i="25"/>
  <c r="B21" i="25"/>
  <c r="B4" i="25"/>
  <c r="F33" i="25"/>
  <c r="B33" i="25" s="1"/>
  <c r="B20" i="25"/>
  <c r="F16" i="25"/>
  <c r="B16" i="25" s="1"/>
  <c r="B3" i="25"/>
  <c r="G41" i="24"/>
  <c r="D33" i="25" l="1"/>
  <c r="D16" i="25"/>
  <c r="G25" i="39"/>
  <c r="G18" i="39"/>
  <c r="G29" i="33" l="1"/>
  <c r="G20" i="33" l="1"/>
  <c r="G38" i="31" l="1"/>
  <c r="G26" i="31"/>
  <c r="G17" i="34" l="1"/>
  <c r="G8" i="34"/>
  <c r="G27" i="30"/>
  <c r="G20" i="30"/>
  <c r="G21" i="29"/>
  <c r="G12" i="29"/>
  <c r="G28" i="35" l="1"/>
  <c r="G19" i="35"/>
  <c r="G21" i="27" l="1"/>
  <c r="G20" i="28"/>
  <c r="G10" i="28"/>
  <c r="G31" i="25" l="1"/>
  <c r="G30" i="25"/>
  <c r="G29" i="25"/>
  <c r="G27" i="25"/>
  <c r="G26" i="25"/>
  <c r="G25" i="25"/>
  <c r="G24" i="25"/>
  <c r="G23" i="25"/>
  <c r="G22" i="25"/>
  <c r="G21" i="25"/>
  <c r="G20" i="25"/>
  <c r="G43" i="26"/>
  <c r="G42" i="26"/>
  <c r="G41" i="26"/>
  <c r="G40" i="26"/>
  <c r="G39" i="26"/>
  <c r="G38" i="26"/>
  <c r="G37" i="26"/>
  <c r="G36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4" i="26"/>
  <c r="G3" i="26"/>
  <c r="G2" i="26"/>
  <c r="G44" i="26" l="1"/>
  <c r="G33" i="25"/>
  <c r="G32" i="26"/>
  <c r="H12" i="24" l="1"/>
  <c r="H17" i="24"/>
  <c r="H24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I2" i="24"/>
  <c r="AB3" i="24"/>
  <c r="H51" i="24"/>
  <c r="H50" i="24"/>
  <c r="H49" i="24"/>
  <c r="H27" i="30"/>
  <c r="H22" i="25" s="1"/>
  <c r="H20" i="30"/>
  <c r="I19" i="30"/>
  <c r="H18" i="39"/>
  <c r="H25" i="39"/>
  <c r="H17" i="34"/>
  <c r="H8" i="34"/>
  <c r="H20" i="33"/>
  <c r="H29" i="33"/>
  <c r="H25" i="25" s="1"/>
  <c r="H41" i="24"/>
  <c r="H43" i="26"/>
  <c r="H42" i="26"/>
  <c r="H41" i="26"/>
  <c r="H40" i="26"/>
  <c r="H39" i="26"/>
  <c r="H38" i="26"/>
  <c r="H37" i="26"/>
  <c r="H36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H38" i="31"/>
  <c r="H26" i="31"/>
  <c r="H6" i="25" s="1"/>
  <c r="H21" i="27"/>
  <c r="H2" i="25" s="1"/>
  <c r="H15" i="36"/>
  <c r="H8" i="36"/>
  <c r="H14" i="25" s="1"/>
  <c r="H21" i="32"/>
  <c r="H7" i="25" s="1"/>
  <c r="H21" i="29"/>
  <c r="H12" i="29"/>
  <c r="H27" i="25"/>
  <c r="H24" i="25"/>
  <c r="H9" i="25"/>
  <c r="H28" i="35"/>
  <c r="H30" i="25" s="1"/>
  <c r="H19" i="35"/>
  <c r="H20" i="28"/>
  <c r="H10" i="28"/>
  <c r="H3" i="25" s="1"/>
  <c r="I21" i="29"/>
  <c r="I21" i="25" s="1"/>
  <c r="I12" i="29"/>
  <c r="I4" i="25" s="1"/>
  <c r="J26" i="24"/>
  <c r="J27" i="24" s="1"/>
  <c r="I17" i="34"/>
  <c r="I29" i="25" s="1"/>
  <c r="I8" i="34"/>
  <c r="I15" i="36"/>
  <c r="I31" i="25" s="1"/>
  <c r="I8" i="36"/>
  <c r="I21" i="32"/>
  <c r="I28" i="35"/>
  <c r="I30" i="25" s="1"/>
  <c r="I19" i="35"/>
  <c r="I38" i="31"/>
  <c r="I26" i="31"/>
  <c r="I21" i="27"/>
  <c r="I20" i="33"/>
  <c r="J19" i="30"/>
  <c r="J31" i="26" s="1"/>
  <c r="J18" i="30"/>
  <c r="I18" i="30"/>
  <c r="I27" i="30"/>
  <c r="I22" i="25" s="1"/>
  <c r="I43" i="26"/>
  <c r="I20" i="28"/>
  <c r="I20" i="25" s="1"/>
  <c r="I10" i="28"/>
  <c r="I3" i="25"/>
  <c r="I41" i="24"/>
  <c r="I29" i="33"/>
  <c r="I25" i="25" s="1"/>
  <c r="I42" i="26"/>
  <c r="I41" i="26"/>
  <c r="I44" i="26" s="1"/>
  <c r="I40" i="26"/>
  <c r="I39" i="26"/>
  <c r="I38" i="26"/>
  <c r="I37" i="26"/>
  <c r="I36" i="26"/>
  <c r="I31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I3" i="26"/>
  <c r="I2" i="26"/>
  <c r="I27" i="25"/>
  <c r="I24" i="25"/>
  <c r="I14" i="25"/>
  <c r="I2" i="25"/>
  <c r="I25" i="39"/>
  <c r="I26" i="25" s="1"/>
  <c r="I18" i="39"/>
  <c r="K26" i="24"/>
  <c r="K27" i="24" s="1"/>
  <c r="J43" i="26"/>
  <c r="J42" i="26"/>
  <c r="J41" i="26"/>
  <c r="J40" i="26"/>
  <c r="J39" i="26"/>
  <c r="J38" i="26"/>
  <c r="J37" i="26"/>
  <c r="J36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J10" i="26"/>
  <c r="J9" i="26"/>
  <c r="J8" i="26"/>
  <c r="J7" i="26"/>
  <c r="J6" i="26"/>
  <c r="J5" i="26"/>
  <c r="J4" i="26"/>
  <c r="J3" i="26"/>
  <c r="J2" i="26"/>
  <c r="J32" i="25"/>
  <c r="J27" i="25"/>
  <c r="J24" i="25"/>
  <c r="J15" i="25"/>
  <c r="J10" i="25"/>
  <c r="J25" i="39"/>
  <c r="J26" i="25" s="1"/>
  <c r="J18" i="39"/>
  <c r="J9" i="25" s="1"/>
  <c r="J21" i="29"/>
  <c r="J12" i="29"/>
  <c r="J21" i="27"/>
  <c r="J2" i="25" s="1"/>
  <c r="J29" i="33"/>
  <c r="J25" i="25" s="1"/>
  <c r="J17" i="34"/>
  <c r="J29" i="25" s="1"/>
  <c r="J8" i="34"/>
  <c r="J12" i="25" s="1"/>
  <c r="J38" i="31"/>
  <c r="J26" i="31"/>
  <c r="J15" i="36"/>
  <c r="J8" i="36"/>
  <c r="J14" i="25" s="1"/>
  <c r="J21" i="32"/>
  <c r="J7" i="25" s="1"/>
  <c r="J20" i="33"/>
  <c r="J8" i="25" s="1"/>
  <c r="J20" i="28"/>
  <c r="J20" i="25" s="1"/>
  <c r="J10" i="28"/>
  <c r="J3" i="25" s="1"/>
  <c r="J27" i="30"/>
  <c r="J22" i="25" s="1"/>
  <c r="J41" i="24"/>
  <c r="J28" i="35"/>
  <c r="J19" i="35"/>
  <c r="J13" i="25" s="1"/>
  <c r="K28" i="35"/>
  <c r="K30" i="25" s="1"/>
  <c r="K19" i="35"/>
  <c r="K13" i="25" s="1"/>
  <c r="K15" i="36"/>
  <c r="K31" i="25" s="1"/>
  <c r="K8" i="36"/>
  <c r="K14" i="25" s="1"/>
  <c r="L41" i="24"/>
  <c r="K41" i="24"/>
  <c r="L27" i="24"/>
  <c r="K17" i="34"/>
  <c r="K29" i="25" s="1"/>
  <c r="K8" i="34"/>
  <c r="K12" i="25" s="1"/>
  <c r="K29" i="33"/>
  <c r="K25" i="25" s="1"/>
  <c r="L21" i="32"/>
  <c r="K21" i="32"/>
  <c r="K7" i="25" s="1"/>
  <c r="L38" i="31"/>
  <c r="K38" i="31"/>
  <c r="K26" i="31"/>
  <c r="K6" i="25"/>
  <c r="K15" i="26"/>
  <c r="K16" i="26"/>
  <c r="K27" i="30"/>
  <c r="K22" i="25" s="1"/>
  <c r="K20" i="30"/>
  <c r="K5" i="25" s="1"/>
  <c r="K21" i="29"/>
  <c r="K21" i="25" s="1"/>
  <c r="K12" i="29"/>
  <c r="K20" i="28"/>
  <c r="K20" i="25" s="1"/>
  <c r="K10" i="28"/>
  <c r="K3" i="25" s="1"/>
  <c r="K21" i="27"/>
  <c r="K2" i="25" s="1"/>
  <c r="K43" i="26"/>
  <c r="K42" i="26"/>
  <c r="K41" i="26"/>
  <c r="K40" i="26"/>
  <c r="K39" i="26"/>
  <c r="K38" i="26"/>
  <c r="K37" i="26"/>
  <c r="K36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K32" i="25"/>
  <c r="K27" i="25"/>
  <c r="K24" i="25"/>
  <c r="K15" i="25"/>
  <c r="K10" i="25"/>
  <c r="K19" i="33"/>
  <c r="K31" i="26" s="1"/>
  <c r="K25" i="39"/>
  <c r="K26" i="25" s="1"/>
  <c r="K18" i="39"/>
  <c r="K9" i="25" s="1"/>
  <c r="U4" i="26"/>
  <c r="T4" i="26"/>
  <c r="S4" i="26"/>
  <c r="R4" i="26"/>
  <c r="Q4" i="26"/>
  <c r="P4" i="26"/>
  <c r="O4" i="26"/>
  <c r="N4" i="26"/>
  <c r="N29" i="33"/>
  <c r="N25" i="25" s="1"/>
  <c r="O29" i="33"/>
  <c r="O25" i="25" s="1"/>
  <c r="N43" i="26"/>
  <c r="N42" i="26"/>
  <c r="N41" i="26"/>
  <c r="N40" i="26"/>
  <c r="N39" i="26"/>
  <c r="N38" i="26"/>
  <c r="N37" i="26"/>
  <c r="N36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N3" i="26"/>
  <c r="N2" i="26"/>
  <c r="N17" i="34"/>
  <c r="N29" i="25" s="1"/>
  <c r="N8" i="34"/>
  <c r="N12" i="25" s="1"/>
  <c r="N15" i="36"/>
  <c r="N31" i="25" s="1"/>
  <c r="N8" i="36"/>
  <c r="N14" i="25" s="1"/>
  <c r="P30" i="26"/>
  <c r="Q30" i="26"/>
  <c r="R30" i="26"/>
  <c r="O30" i="26"/>
  <c r="N25" i="39"/>
  <c r="N26" i="25" s="1"/>
  <c r="N18" i="39"/>
  <c r="N9" i="25" s="1"/>
  <c r="N38" i="31"/>
  <c r="N23" i="25" s="1"/>
  <c r="N26" i="31"/>
  <c r="N6" i="25" s="1"/>
  <c r="N21" i="27"/>
  <c r="N2" i="25" s="1"/>
  <c r="N27" i="24"/>
  <c r="N20" i="33"/>
  <c r="N8" i="25" s="1"/>
  <c r="N32" i="25"/>
  <c r="N27" i="25"/>
  <c r="N15" i="25"/>
  <c r="N10" i="25"/>
  <c r="N28" i="35"/>
  <c r="N30" i="25" s="1"/>
  <c r="N19" i="35"/>
  <c r="N27" i="30"/>
  <c r="N22" i="25" s="1"/>
  <c r="N20" i="30"/>
  <c r="N5" i="25" s="1"/>
  <c r="N20" i="28"/>
  <c r="N20" i="25"/>
  <c r="N10" i="28"/>
  <c r="N3" i="25"/>
  <c r="N41" i="24"/>
  <c r="N21" i="29"/>
  <c r="N21" i="25" s="1"/>
  <c r="N12" i="29"/>
  <c r="N4" i="25" s="1"/>
  <c r="N26" i="32"/>
  <c r="N24" i="25" s="1"/>
  <c r="N21" i="32"/>
  <c r="N7" i="25" s="1"/>
  <c r="O8" i="36"/>
  <c r="O14" i="25" s="1"/>
  <c r="O11" i="36"/>
  <c r="O15" i="36"/>
  <c r="O31" i="25" s="1"/>
  <c r="R43" i="26"/>
  <c r="Q43" i="26"/>
  <c r="P43" i="26"/>
  <c r="R42" i="26"/>
  <c r="Q42" i="26"/>
  <c r="P42" i="26"/>
  <c r="R41" i="26"/>
  <c r="Q41" i="26"/>
  <c r="P41" i="26"/>
  <c r="R40" i="26"/>
  <c r="Q40" i="26"/>
  <c r="P40" i="26"/>
  <c r="R39" i="26"/>
  <c r="Q39" i="26"/>
  <c r="P39" i="26"/>
  <c r="R38" i="26"/>
  <c r="Q38" i="26"/>
  <c r="P38" i="26"/>
  <c r="R37" i="26"/>
  <c r="Q37" i="26"/>
  <c r="P37" i="26"/>
  <c r="R36" i="26"/>
  <c r="Q36" i="26"/>
  <c r="P36" i="26"/>
  <c r="O24" i="26"/>
  <c r="O17" i="26"/>
  <c r="O27" i="24"/>
  <c r="O31" i="26"/>
  <c r="O29" i="26"/>
  <c r="O28" i="26"/>
  <c r="O27" i="26"/>
  <c r="O26" i="26"/>
  <c r="O25" i="26"/>
  <c r="O23" i="26"/>
  <c r="O22" i="26"/>
  <c r="O21" i="26"/>
  <c r="O20" i="26"/>
  <c r="O19" i="26"/>
  <c r="O18" i="26"/>
  <c r="O16" i="26"/>
  <c r="O15" i="26"/>
  <c r="O14" i="26"/>
  <c r="O13" i="26"/>
  <c r="O12" i="26"/>
  <c r="O11" i="26"/>
  <c r="O10" i="26"/>
  <c r="O9" i="26"/>
  <c r="O8" i="26"/>
  <c r="O7" i="26"/>
  <c r="O6" i="26"/>
  <c r="O5" i="26"/>
  <c r="O3" i="26"/>
  <c r="O2" i="26"/>
  <c r="O26" i="32"/>
  <c r="O24" i="25" s="1"/>
  <c r="O21" i="32"/>
  <c r="O7" i="25" s="1"/>
  <c r="O26" i="31"/>
  <c r="O6" i="25" s="1"/>
  <c r="T43" i="26"/>
  <c r="S43" i="26"/>
  <c r="T39" i="26"/>
  <c r="S39" i="26"/>
  <c r="S38" i="31"/>
  <c r="S23" i="25" s="1"/>
  <c r="R38" i="31"/>
  <c r="R23" i="25" s="1"/>
  <c r="Q38" i="31"/>
  <c r="Q23" i="25" s="1"/>
  <c r="P38" i="31"/>
  <c r="P23" i="25" s="1"/>
  <c r="O38" i="31"/>
  <c r="O23" i="25" s="1"/>
  <c r="T23" i="25"/>
  <c r="O21" i="29"/>
  <c r="O21" i="25" s="1"/>
  <c r="O12" i="29"/>
  <c r="O4" i="25" s="1"/>
  <c r="P41" i="24"/>
  <c r="O41" i="24"/>
  <c r="O17" i="34"/>
  <c r="O29" i="25" s="1"/>
  <c r="O8" i="34"/>
  <c r="O12" i="25" s="1"/>
  <c r="O21" i="27"/>
  <c r="O2" i="25" s="1"/>
  <c r="O25" i="39"/>
  <c r="O26" i="25" s="1"/>
  <c r="O18" i="39"/>
  <c r="O9" i="25" s="1"/>
  <c r="O27" i="30"/>
  <c r="O22" i="25" s="1"/>
  <c r="O20" i="30"/>
  <c r="O5" i="25" s="1"/>
  <c r="O10" i="28"/>
  <c r="O3" i="25" s="1"/>
  <c r="O20" i="28"/>
  <c r="O20" i="25" s="1"/>
  <c r="O42" i="26"/>
  <c r="O41" i="26"/>
  <c r="O40" i="26"/>
  <c r="O38" i="26"/>
  <c r="O37" i="26"/>
  <c r="O36" i="26"/>
  <c r="O32" i="25"/>
  <c r="O27" i="25"/>
  <c r="O15" i="25"/>
  <c r="O10" i="25"/>
  <c r="O19" i="35"/>
  <c r="O13" i="25" s="1"/>
  <c r="O22" i="35"/>
  <c r="O11" i="34"/>
  <c r="O12" i="41"/>
  <c r="O21" i="39"/>
  <c r="P18" i="39"/>
  <c r="P9" i="25" s="1"/>
  <c r="P21" i="39"/>
  <c r="P25" i="39"/>
  <c r="P26" i="25" s="1"/>
  <c r="O23" i="33"/>
  <c r="P20" i="33"/>
  <c r="P8" i="25" s="1"/>
  <c r="P23" i="33"/>
  <c r="P29" i="33"/>
  <c r="P25" i="25" s="1"/>
  <c r="O24" i="32"/>
  <c r="O29" i="31"/>
  <c r="O23" i="30"/>
  <c r="O15" i="29"/>
  <c r="O14" i="28"/>
  <c r="O35" i="26"/>
  <c r="O19" i="25"/>
  <c r="O30" i="24"/>
  <c r="P29" i="26"/>
  <c r="P28" i="26"/>
  <c r="P27" i="26"/>
  <c r="P25" i="26"/>
  <c r="P23" i="26"/>
  <c r="P22" i="26"/>
  <c r="P21" i="26"/>
  <c r="P20" i="26"/>
  <c r="P19" i="26"/>
  <c r="P16" i="26"/>
  <c r="P13" i="26"/>
  <c r="P8" i="26"/>
  <c r="P7" i="26"/>
  <c r="P5" i="26"/>
  <c r="P2" i="26"/>
  <c r="Q31" i="26"/>
  <c r="R31" i="26"/>
  <c r="S31" i="26"/>
  <c r="T31" i="26"/>
  <c r="U31" i="26"/>
  <c r="P17" i="34"/>
  <c r="P29" i="25" s="1"/>
  <c r="P8" i="34"/>
  <c r="P12" i="25" s="1"/>
  <c r="P15" i="36"/>
  <c r="P31" i="25" s="1"/>
  <c r="P8" i="36"/>
  <c r="P14" i="25" s="1"/>
  <c r="P19" i="37"/>
  <c r="P32" i="25" s="1"/>
  <c r="P12" i="37"/>
  <c r="P15" i="25" s="1"/>
  <c r="P21" i="29"/>
  <c r="P21" i="25" s="1"/>
  <c r="P12" i="29"/>
  <c r="P4" i="25" s="1"/>
  <c r="U24" i="26"/>
  <c r="T24" i="26"/>
  <c r="S24" i="26"/>
  <c r="R24" i="26"/>
  <c r="Q24" i="26"/>
  <c r="U26" i="26"/>
  <c r="T26" i="26"/>
  <c r="S26" i="26"/>
  <c r="R26" i="26"/>
  <c r="Q26" i="26"/>
  <c r="T30" i="26"/>
  <c r="S30" i="26"/>
  <c r="P35" i="26"/>
  <c r="P21" i="32"/>
  <c r="P7" i="25" s="1"/>
  <c r="P26" i="32"/>
  <c r="P24" i="25" s="1"/>
  <c r="P27" i="25"/>
  <c r="P10" i="25"/>
  <c r="P15" i="37"/>
  <c r="P11" i="36"/>
  <c r="P11" i="34"/>
  <c r="P12" i="41"/>
  <c r="P24" i="32"/>
  <c r="P15" i="29"/>
  <c r="P20" i="30"/>
  <c r="P5" i="25" s="1"/>
  <c r="P27" i="30"/>
  <c r="P22" i="25" s="1"/>
  <c r="P23" i="30"/>
  <c r="P10" i="28"/>
  <c r="P3" i="25" s="1"/>
  <c r="P20" i="28"/>
  <c r="P20" i="25" s="1"/>
  <c r="P14" i="28"/>
  <c r="P19" i="25"/>
  <c r="P30" i="24"/>
  <c r="P29" i="31"/>
  <c r="P28" i="35"/>
  <c r="P30" i="25" s="1"/>
  <c r="P19" i="35"/>
  <c r="P13" i="25" s="1"/>
  <c r="P22" i="35"/>
  <c r="P21" i="27"/>
  <c r="P2" i="25" s="1"/>
  <c r="P27" i="24"/>
  <c r="X41" i="24"/>
  <c r="W41" i="24"/>
  <c r="V41" i="24"/>
  <c r="U41" i="24"/>
  <c r="T41" i="24"/>
  <c r="S41" i="24"/>
  <c r="T27" i="25"/>
  <c r="S27" i="25"/>
  <c r="R27" i="25"/>
  <c r="Q27" i="25"/>
  <c r="U10" i="25"/>
  <c r="T10" i="25"/>
  <c r="S10" i="25"/>
  <c r="S2" i="25"/>
  <c r="R10" i="25"/>
  <c r="Q10" i="25"/>
  <c r="Q29" i="33"/>
  <c r="Q25" i="25" s="1"/>
  <c r="R41" i="24"/>
  <c r="Q41" i="24"/>
  <c r="R29" i="26"/>
  <c r="R28" i="26"/>
  <c r="R27" i="26"/>
  <c r="R25" i="26"/>
  <c r="R23" i="26"/>
  <c r="R22" i="26"/>
  <c r="R21" i="26"/>
  <c r="R20" i="26"/>
  <c r="R19" i="26"/>
  <c r="R18" i="26"/>
  <c r="R17" i="26"/>
  <c r="R16" i="26"/>
  <c r="R15" i="26"/>
  <c r="R14" i="26"/>
  <c r="R13" i="26"/>
  <c r="R12" i="26"/>
  <c r="R11" i="26"/>
  <c r="R10" i="26"/>
  <c r="R9" i="26"/>
  <c r="R8" i="26"/>
  <c r="R7" i="26"/>
  <c r="R6" i="26"/>
  <c r="R5" i="26"/>
  <c r="R3" i="26"/>
  <c r="R2" i="26"/>
  <c r="Q23" i="26"/>
  <c r="Q19" i="26"/>
  <c r="Q18" i="26"/>
  <c r="Q17" i="26"/>
  <c r="Q15" i="26"/>
  <c r="Q14" i="26"/>
  <c r="Q13" i="26"/>
  <c r="Q12" i="26"/>
  <c r="Q11" i="26"/>
  <c r="Q29" i="26"/>
  <c r="Q28" i="26"/>
  <c r="Q27" i="26"/>
  <c r="Q25" i="26"/>
  <c r="Q22" i="26"/>
  <c r="Q21" i="26"/>
  <c r="Q20" i="26"/>
  <c r="Q16" i="26"/>
  <c r="Q10" i="26"/>
  <c r="Q9" i="26"/>
  <c r="Q8" i="26"/>
  <c r="Q7" i="26"/>
  <c r="Q6" i="26"/>
  <c r="Q5" i="26"/>
  <c r="Q3" i="26"/>
  <c r="Q2" i="26"/>
  <c r="Q17" i="34"/>
  <c r="Q29" i="25" s="1"/>
  <c r="Q8" i="34"/>
  <c r="Q12" i="25" s="1"/>
  <c r="Q19" i="35"/>
  <c r="Q13" i="25" s="1"/>
  <c r="Q28" i="35"/>
  <c r="Q30" i="25" s="1"/>
  <c r="Q15" i="36"/>
  <c r="Q31" i="25" s="1"/>
  <c r="Q8" i="36"/>
  <c r="Q14" i="25" s="1"/>
  <c r="Q19" i="37"/>
  <c r="Q32" i="25" s="1"/>
  <c r="Q12" i="37"/>
  <c r="Q15" i="25" s="1"/>
  <c r="Q25" i="39"/>
  <c r="Q26" i="25" s="1"/>
  <c r="Q18" i="39"/>
  <c r="Q9" i="25" s="1"/>
  <c r="Q20" i="33"/>
  <c r="Q8" i="25" s="1"/>
  <c r="Q26" i="32"/>
  <c r="Q24" i="25" s="1"/>
  <c r="Q21" i="32"/>
  <c r="Q7" i="25" s="1"/>
  <c r="Q27" i="30"/>
  <c r="Q22" i="25" s="1"/>
  <c r="Q26" i="31"/>
  <c r="Q6" i="25"/>
  <c r="Q20" i="30"/>
  <c r="Q5" i="25" s="1"/>
  <c r="Q21" i="29"/>
  <c r="Q21" i="25"/>
  <c r="Q12" i="29"/>
  <c r="Q4" i="25" s="1"/>
  <c r="Q20" i="28"/>
  <c r="Q20" i="25" s="1"/>
  <c r="Q10" i="28"/>
  <c r="Q3" i="25" s="1"/>
  <c r="Q21" i="27"/>
  <c r="Q2" i="25"/>
  <c r="Q27" i="24"/>
  <c r="S29" i="33"/>
  <c r="S25" i="25"/>
  <c r="R29" i="33"/>
  <c r="R25" i="25" s="1"/>
  <c r="R21" i="27"/>
  <c r="R2" i="25" s="1"/>
  <c r="R17" i="34"/>
  <c r="R29" i="25" s="1"/>
  <c r="R8" i="34"/>
  <c r="R12" i="25" s="1"/>
  <c r="R26" i="32"/>
  <c r="R24" i="25" s="1"/>
  <c r="R21" i="32"/>
  <c r="R7" i="25" s="1"/>
  <c r="R20" i="33"/>
  <c r="R8" i="25"/>
  <c r="S25" i="39"/>
  <c r="S26" i="25" s="1"/>
  <c r="R25" i="39"/>
  <c r="R26" i="25" s="1"/>
  <c r="R18" i="39"/>
  <c r="R9" i="25" s="1"/>
  <c r="R27" i="24"/>
  <c r="R26" i="31"/>
  <c r="R6" i="25" s="1"/>
  <c r="R20" i="28"/>
  <c r="R20" i="25"/>
  <c r="R10" i="28"/>
  <c r="R3" i="25" s="1"/>
  <c r="R15" i="36"/>
  <c r="R31" i="25" s="1"/>
  <c r="R8" i="36"/>
  <c r="R14" i="25" s="1"/>
  <c r="R19" i="37"/>
  <c r="R32" i="25" s="1"/>
  <c r="R12" i="37"/>
  <c r="R15" i="25" s="1"/>
  <c r="R20" i="30"/>
  <c r="R5" i="25" s="1"/>
  <c r="R27" i="30"/>
  <c r="R22" i="25" s="1"/>
  <c r="R28" i="35"/>
  <c r="R30" i="25"/>
  <c r="R19" i="35"/>
  <c r="R13" i="25" s="1"/>
  <c r="R21" i="29"/>
  <c r="R21" i="25" s="1"/>
  <c r="R12" i="29"/>
  <c r="R4" i="25" s="1"/>
  <c r="S29" i="26"/>
  <c r="S28" i="26"/>
  <c r="S27" i="26"/>
  <c r="S25" i="26"/>
  <c r="S23" i="26"/>
  <c r="S22" i="26"/>
  <c r="S21" i="26"/>
  <c r="S20" i="26"/>
  <c r="S19" i="26"/>
  <c r="S18" i="26"/>
  <c r="S17" i="26"/>
  <c r="S16" i="26"/>
  <c r="S15" i="26"/>
  <c r="S14" i="26"/>
  <c r="S13" i="26"/>
  <c r="S12" i="26"/>
  <c r="S11" i="26"/>
  <c r="S10" i="26"/>
  <c r="S9" i="26"/>
  <c r="S8" i="26"/>
  <c r="S7" i="26"/>
  <c r="S6" i="26"/>
  <c r="S5" i="26"/>
  <c r="S3" i="26"/>
  <c r="S2" i="26"/>
  <c r="S20" i="28"/>
  <c r="S20" i="25" s="1"/>
  <c r="S10" i="28"/>
  <c r="S3" i="25" s="1"/>
  <c r="S18" i="39"/>
  <c r="S9" i="25" s="1"/>
  <c r="U29" i="26"/>
  <c r="U28" i="26"/>
  <c r="U27" i="26"/>
  <c r="U25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U5" i="26"/>
  <c r="U3" i="26"/>
  <c r="U2" i="26"/>
  <c r="T23" i="26"/>
  <c r="T19" i="26"/>
  <c r="T18" i="26"/>
  <c r="T17" i="26"/>
  <c r="T15" i="26"/>
  <c r="T14" i="26"/>
  <c r="T13" i="26"/>
  <c r="T12" i="26"/>
  <c r="T11" i="26"/>
  <c r="T3" i="26"/>
  <c r="S27" i="24"/>
  <c r="U42" i="26"/>
  <c r="U41" i="26"/>
  <c r="U40" i="26"/>
  <c r="U39" i="26"/>
  <c r="U38" i="26"/>
  <c r="U37" i="26"/>
  <c r="U36" i="26"/>
  <c r="T42" i="26"/>
  <c r="T41" i="26"/>
  <c r="T40" i="26"/>
  <c r="T38" i="26"/>
  <c r="T37" i="26"/>
  <c r="T36" i="26"/>
  <c r="T29" i="26"/>
  <c r="T28" i="26"/>
  <c r="T27" i="26"/>
  <c r="T25" i="26"/>
  <c r="T22" i="26"/>
  <c r="T21" i="26"/>
  <c r="T20" i="26"/>
  <c r="T16" i="26"/>
  <c r="T10" i="26"/>
  <c r="T9" i="26"/>
  <c r="T8" i="26"/>
  <c r="T7" i="26"/>
  <c r="T6" i="26"/>
  <c r="T5" i="26"/>
  <c r="T2" i="26"/>
  <c r="S42" i="26"/>
  <c r="S41" i="26"/>
  <c r="S40" i="26"/>
  <c r="S38" i="26"/>
  <c r="S37" i="26"/>
  <c r="S36" i="26"/>
  <c r="S21" i="29"/>
  <c r="S21" i="25" s="1"/>
  <c r="S12" i="29"/>
  <c r="S4" i="25" s="1"/>
  <c r="S27" i="30"/>
  <c r="S22" i="25" s="1"/>
  <c r="S20" i="30"/>
  <c r="S5" i="25" s="1"/>
  <c r="S17" i="34"/>
  <c r="S29" i="25" s="1"/>
  <c r="S8" i="34"/>
  <c r="S12" i="25" s="1"/>
  <c r="S26" i="31"/>
  <c r="S6" i="25" s="1"/>
  <c r="S26" i="32"/>
  <c r="S24" i="25" s="1"/>
  <c r="S21" i="32"/>
  <c r="S7" i="25" s="1"/>
  <c r="S20" i="33"/>
  <c r="S8" i="25" s="1"/>
  <c r="S28" i="35"/>
  <c r="S30" i="25"/>
  <c r="S19" i="35"/>
  <c r="S13" i="25" s="1"/>
  <c r="S15" i="36"/>
  <c r="S31" i="25" s="1"/>
  <c r="S8" i="36"/>
  <c r="S14" i="25" s="1"/>
  <c r="S19" i="37"/>
  <c r="S32" i="25" s="1"/>
  <c r="S12" i="37"/>
  <c r="S15" i="25" s="1"/>
  <c r="T26" i="31"/>
  <c r="T6" i="25" s="1"/>
  <c r="T25" i="39"/>
  <c r="T26" i="25" s="1"/>
  <c r="T19" i="35"/>
  <c r="T13" i="25" s="1"/>
  <c r="T17" i="34"/>
  <c r="T29" i="25" s="1"/>
  <c r="T8" i="34"/>
  <c r="T12" i="25" s="1"/>
  <c r="T21" i="29"/>
  <c r="T21" i="25" s="1"/>
  <c r="T12" i="29"/>
  <c r="T4" i="25" s="1"/>
  <c r="T20" i="33"/>
  <c r="T8" i="25" s="1"/>
  <c r="T28" i="35"/>
  <c r="T30" i="25" s="1"/>
  <c r="T27" i="24"/>
  <c r="T19" i="37"/>
  <c r="T32" i="25" s="1"/>
  <c r="T12" i="37"/>
  <c r="T15" i="25" s="1"/>
  <c r="T15" i="36"/>
  <c r="T31" i="25" s="1"/>
  <c r="T8" i="36"/>
  <c r="T14" i="25" s="1"/>
  <c r="T18" i="39"/>
  <c r="T9" i="25" s="1"/>
  <c r="T29" i="33"/>
  <c r="T25" i="25" s="1"/>
  <c r="T26" i="32"/>
  <c r="T24" i="25"/>
  <c r="T21" i="32"/>
  <c r="T7" i="25" s="1"/>
  <c r="T27" i="30"/>
  <c r="T22" i="25" s="1"/>
  <c r="T20" i="30"/>
  <c r="T5" i="25" s="1"/>
  <c r="T20" i="28"/>
  <c r="T20" i="25" s="1"/>
  <c r="T10" i="28"/>
  <c r="T3" i="25" s="1"/>
  <c r="T21" i="27"/>
  <c r="T2" i="25" s="1"/>
  <c r="X20" i="28"/>
  <c r="W20" i="28"/>
  <c r="V20" i="28"/>
  <c r="U20" i="28"/>
  <c r="X10" i="28"/>
  <c r="W10" i="28"/>
  <c r="V20" i="33"/>
  <c r="W20" i="33"/>
  <c r="U20" i="33"/>
  <c r="U8" i="25" s="1"/>
  <c r="X20" i="33"/>
  <c r="X19" i="37"/>
  <c r="W19" i="37"/>
  <c r="V19" i="37"/>
  <c r="U19" i="37"/>
  <c r="X12" i="37"/>
  <c r="W12" i="37"/>
  <c r="V12" i="37"/>
  <c r="U12" i="37"/>
  <c r="U15" i="25" s="1"/>
  <c r="X15" i="36"/>
  <c r="W15" i="36"/>
  <c r="V15" i="36"/>
  <c r="U15" i="36"/>
  <c r="X8" i="36"/>
  <c r="W8" i="36"/>
  <c r="V8" i="36"/>
  <c r="U8" i="36"/>
  <c r="U14" i="25" s="1"/>
  <c r="X29" i="33"/>
  <c r="W29" i="33"/>
  <c r="V29" i="33"/>
  <c r="U29" i="33"/>
  <c r="X27" i="30"/>
  <c r="X20" i="30"/>
  <c r="W19" i="30"/>
  <c r="W20" i="30" s="1"/>
  <c r="U26" i="30"/>
  <c r="U43" i="26" s="1"/>
  <c r="X21" i="29"/>
  <c r="W21" i="29"/>
  <c r="U21" i="29"/>
  <c r="U17" i="35"/>
  <c r="U30" i="26" s="1"/>
  <c r="U25" i="39"/>
  <c r="U18" i="39"/>
  <c r="U9" i="25" s="1"/>
  <c r="X25" i="39"/>
  <c r="W25" i="39"/>
  <c r="V25" i="39"/>
  <c r="X18" i="39"/>
  <c r="W18" i="39"/>
  <c r="V18" i="39"/>
  <c r="X28" i="35"/>
  <c r="W28" i="35"/>
  <c r="V28" i="35"/>
  <c r="U28" i="35"/>
  <c r="X19" i="35"/>
  <c r="W19" i="35"/>
  <c r="V19" i="35"/>
  <c r="X17" i="34"/>
  <c r="W17" i="34"/>
  <c r="V17" i="34"/>
  <c r="U17" i="34"/>
  <c r="X8" i="34"/>
  <c r="W8" i="34"/>
  <c r="V8" i="34"/>
  <c r="U8" i="34"/>
  <c r="U12" i="25" s="1"/>
  <c r="X26" i="32"/>
  <c r="W26" i="32"/>
  <c r="V26" i="32"/>
  <c r="U26" i="32"/>
  <c r="X21" i="32"/>
  <c r="W21" i="32"/>
  <c r="V21" i="32"/>
  <c r="U21" i="32"/>
  <c r="U7" i="25" s="1"/>
  <c r="V38" i="31"/>
  <c r="U38" i="31"/>
  <c r="V26" i="31"/>
  <c r="U26" i="31"/>
  <c r="U6" i="25" s="1"/>
  <c r="V27" i="30"/>
  <c r="W24" i="30"/>
  <c r="W27" i="30" s="1"/>
  <c r="V20" i="30"/>
  <c r="U20" i="30"/>
  <c r="U5" i="25" s="1"/>
  <c r="X12" i="29"/>
  <c r="W12" i="29"/>
  <c r="V16" i="25"/>
  <c r="V12" i="29"/>
  <c r="U12" i="29"/>
  <c r="U4" i="25" s="1"/>
  <c r="X21" i="27"/>
  <c r="W21" i="27"/>
  <c r="V21" i="27"/>
  <c r="U21" i="27"/>
  <c r="U2" i="25" s="1"/>
  <c r="X33" i="25"/>
  <c r="W33" i="25"/>
  <c r="V33" i="25"/>
  <c r="U33" i="25"/>
  <c r="X16" i="25"/>
  <c r="W16" i="25"/>
  <c r="X27" i="24"/>
  <c r="W27" i="24"/>
  <c r="V27" i="24"/>
  <c r="U27" i="24"/>
  <c r="V10" i="28"/>
  <c r="U10" i="28"/>
  <c r="U3" i="25" s="1"/>
  <c r="P17" i="26"/>
  <c r="P9" i="26"/>
  <c r="P26" i="26"/>
  <c r="P12" i="26"/>
  <c r="P24" i="26"/>
  <c r="P18" i="26"/>
  <c r="P6" i="26"/>
  <c r="P10" i="26"/>
  <c r="P3" i="26"/>
  <c r="P14" i="26"/>
  <c r="P31" i="26"/>
  <c r="P11" i="26"/>
  <c r="P26" i="31"/>
  <c r="P6" i="25" s="1"/>
  <c r="P15" i="26"/>
  <c r="O20" i="33"/>
  <c r="O8" i="25" s="1"/>
  <c r="O43" i="26"/>
  <c r="O39" i="26"/>
  <c r="O28" i="35"/>
  <c r="O30" i="25" s="1"/>
  <c r="N13" i="25"/>
  <c r="U19" i="35"/>
  <c r="U13" i="25" s="1"/>
  <c r="K20" i="33"/>
  <c r="K8" i="25" s="1"/>
  <c r="K23" i="25"/>
  <c r="K4" i="25"/>
  <c r="J23" i="25"/>
  <c r="J6" i="25"/>
  <c r="J31" i="25"/>
  <c r="J30" i="25"/>
  <c r="J4" i="25"/>
  <c r="J21" i="25"/>
  <c r="I23" i="25"/>
  <c r="I12" i="25"/>
  <c r="I8" i="25"/>
  <c r="I9" i="25"/>
  <c r="J20" i="30" l="1"/>
  <c r="J5" i="25" s="1"/>
  <c r="J30" i="26"/>
  <c r="U27" i="30"/>
  <c r="S32" i="26"/>
  <c r="Q32" i="26"/>
  <c r="R32" i="26"/>
  <c r="R16" i="25"/>
  <c r="P33" i="25"/>
  <c r="P44" i="26"/>
  <c r="Q44" i="26"/>
  <c r="J44" i="26"/>
  <c r="T33" i="25"/>
  <c r="S44" i="26"/>
  <c r="T44" i="26"/>
  <c r="R33" i="25"/>
  <c r="N44" i="26"/>
  <c r="K44" i="26"/>
  <c r="U44" i="26"/>
  <c r="O32" i="26"/>
  <c r="R44" i="26"/>
  <c r="N32" i="26"/>
  <c r="H27" i="24"/>
  <c r="H31" i="25"/>
  <c r="H8" i="25"/>
  <c r="H12" i="25"/>
  <c r="H5" i="25"/>
  <c r="H21" i="25"/>
  <c r="H4" i="25"/>
  <c r="H13" i="25"/>
  <c r="H20" i="25"/>
  <c r="H44" i="26"/>
  <c r="H32" i="26"/>
  <c r="Q16" i="25"/>
  <c r="P32" i="26"/>
  <c r="P16" i="25"/>
  <c r="N16" i="25"/>
  <c r="I33" i="25"/>
  <c r="I7" i="25"/>
  <c r="J32" i="26"/>
  <c r="O33" i="25"/>
  <c r="J16" i="25"/>
  <c r="I6" i="25"/>
  <c r="T32" i="26"/>
  <c r="U32" i="26"/>
  <c r="N33" i="25"/>
  <c r="K32" i="26"/>
  <c r="K33" i="25"/>
  <c r="I20" i="30"/>
  <c r="I30" i="26"/>
  <c r="I32" i="26" s="1"/>
  <c r="U16" i="25"/>
  <c r="T16" i="25"/>
  <c r="Q33" i="25"/>
  <c r="O44" i="26"/>
  <c r="O16" i="25"/>
  <c r="S16" i="25"/>
  <c r="H23" i="25"/>
  <c r="S33" i="25"/>
  <c r="K16" i="25"/>
  <c r="J33" i="25"/>
  <c r="H26" i="25"/>
  <c r="I13" i="25"/>
  <c r="H29" i="25"/>
  <c r="I27" i="24"/>
  <c r="H33" i="25" l="1"/>
  <c r="H16" i="25"/>
  <c r="I5" i="25"/>
  <c r="I16" i="25" l="1"/>
</calcChain>
</file>

<file path=xl/sharedStrings.xml><?xml version="1.0" encoding="utf-8"?>
<sst xmlns="http://schemas.openxmlformats.org/spreadsheetml/2006/main" count="550" uniqueCount="182">
  <si>
    <t>The Netherlands</t>
  </si>
  <si>
    <t>Elstar</t>
  </si>
  <si>
    <t>Golden Delicious</t>
  </si>
  <si>
    <t>Boskoop</t>
  </si>
  <si>
    <t>Cox Orange</t>
  </si>
  <si>
    <t>Other</t>
  </si>
  <si>
    <t>Conference</t>
  </si>
  <si>
    <t>Austria (Steiermark)</t>
  </si>
  <si>
    <t>Gala</t>
  </si>
  <si>
    <t>Idared</t>
  </si>
  <si>
    <t>Braeburn</t>
  </si>
  <si>
    <t>Fuji</t>
  </si>
  <si>
    <t>Pinova</t>
  </si>
  <si>
    <t>Gloster</t>
  </si>
  <si>
    <t>Holsteiner Cox</t>
  </si>
  <si>
    <t>Italy</t>
  </si>
  <si>
    <t>Granny Smith</t>
  </si>
  <si>
    <t>Morgendurf/imperat</t>
  </si>
  <si>
    <t>Red Delicious</t>
  </si>
  <si>
    <t>Stayman</t>
  </si>
  <si>
    <t>France</t>
  </si>
  <si>
    <t>TOTAL</t>
  </si>
  <si>
    <t>Apple Stocks (Ton)</t>
  </si>
  <si>
    <t>Pear Stocks (Ton)</t>
  </si>
  <si>
    <t>Jonagored</t>
  </si>
  <si>
    <t>Jonagold</t>
  </si>
  <si>
    <t>Germany</t>
  </si>
  <si>
    <t>Cameo</t>
  </si>
  <si>
    <t>Kaiser</t>
  </si>
  <si>
    <t>Czech Republic</t>
  </si>
  <si>
    <t>Poland</t>
  </si>
  <si>
    <t>Cortland</t>
  </si>
  <si>
    <t>Lobo</t>
  </si>
  <si>
    <t>Spartan</t>
  </si>
  <si>
    <t>Bramley</t>
  </si>
  <si>
    <t>Spain (Catalonia)</t>
  </si>
  <si>
    <t>Alexandrina</t>
  </si>
  <si>
    <t>Blanquilla</t>
  </si>
  <si>
    <t>Denmark</t>
  </si>
  <si>
    <t>Anjou</t>
  </si>
  <si>
    <t>Bosc</t>
  </si>
  <si>
    <t>Red Anjou</t>
  </si>
  <si>
    <t>Comice</t>
  </si>
  <si>
    <t>Seckel</t>
  </si>
  <si>
    <t>Other Reds</t>
  </si>
  <si>
    <t>Northwest Bartletts (Williams)</t>
  </si>
  <si>
    <t>Other Winter Varities</t>
  </si>
  <si>
    <t>Empire</t>
  </si>
  <si>
    <t>Jonathan</t>
  </si>
  <si>
    <t>McIntosh</t>
  </si>
  <si>
    <t>Mutsu/Crispin</t>
  </si>
  <si>
    <t>Newtown Pippin</t>
  </si>
  <si>
    <t>Northern Spy</t>
  </si>
  <si>
    <t>Rome</t>
  </si>
  <si>
    <t>Rome Sport</t>
  </si>
  <si>
    <t>Winesap</t>
  </si>
  <si>
    <t>York</t>
  </si>
  <si>
    <t>Others</t>
  </si>
  <si>
    <t>Switzerland</t>
  </si>
  <si>
    <t>Cripps Pink</t>
  </si>
  <si>
    <t>Content:</t>
  </si>
  <si>
    <t>US situation</t>
  </si>
  <si>
    <t>European situation per country</t>
  </si>
  <si>
    <t xml:space="preserve">Sources: </t>
  </si>
  <si>
    <t>US:</t>
  </si>
  <si>
    <t>Washington Apple Commission, Pear Bureau Northwest</t>
  </si>
  <si>
    <t>Austria:</t>
  </si>
  <si>
    <t>Landeskammer für Land- und Forstwirtschaft Steiermark</t>
  </si>
  <si>
    <t>Belgium:</t>
  </si>
  <si>
    <t>VBT</t>
  </si>
  <si>
    <t>Czech Republic:</t>
  </si>
  <si>
    <t>SAPA</t>
  </si>
  <si>
    <t>France:</t>
  </si>
  <si>
    <t>Germany:</t>
  </si>
  <si>
    <t>Italy:</t>
  </si>
  <si>
    <t>ASSOMELA, CSO</t>
  </si>
  <si>
    <t>Poland:</t>
  </si>
  <si>
    <t>Switzerland:</t>
  </si>
  <si>
    <t>Spain:</t>
  </si>
  <si>
    <t>The Netherlands:</t>
  </si>
  <si>
    <t>United Kingdom:</t>
  </si>
  <si>
    <t>Productschap Tuinbouw</t>
  </si>
  <si>
    <t>SWISSCOFEL</t>
  </si>
  <si>
    <t>SOCIETY FOR PROMOTION OF DWARF FRUIT ORCHARDS</t>
  </si>
  <si>
    <t>Central Institute for Supervising and Testing in Agriculture, Division of perennial plants</t>
  </si>
  <si>
    <t>Other new varieties³</t>
  </si>
  <si>
    <t>Reinette Grise du Canada</t>
  </si>
  <si>
    <t>Shampion</t>
  </si>
  <si>
    <t>Guyot</t>
  </si>
  <si>
    <t>Section Nationale Pommes, Section Nationale Poires</t>
  </si>
  <si>
    <t>European situation per variety</t>
  </si>
  <si>
    <t>Variety (Ton)</t>
  </si>
  <si>
    <t>Total</t>
  </si>
  <si>
    <t>Doyenne du comice</t>
  </si>
  <si>
    <t>Reinette</t>
  </si>
  <si>
    <t>AMI</t>
  </si>
  <si>
    <t>Red Jonaprince</t>
  </si>
  <si>
    <t>Other new varieties*</t>
  </si>
  <si>
    <t>Abate Fetel</t>
  </si>
  <si>
    <t>Arlet</t>
  </si>
  <si>
    <t>Kronprinz Rudolf</t>
  </si>
  <si>
    <t>Rubinette</t>
  </si>
  <si>
    <t>Topaz</t>
  </si>
  <si>
    <t>Gloster*</t>
  </si>
  <si>
    <t>* From 2007 Gloster is included in others</t>
  </si>
  <si>
    <t>Doyenne</t>
  </si>
  <si>
    <t>Bellida</t>
  </si>
  <si>
    <t>Pigoen</t>
  </si>
  <si>
    <t>Ingrid Marie</t>
  </si>
  <si>
    <t>Pear Stocks  (Ton)</t>
  </si>
  <si>
    <t>Ariane</t>
  </si>
  <si>
    <t>Belchard/Chantecler</t>
  </si>
  <si>
    <t>Goldrush</t>
  </si>
  <si>
    <t>Honey Crunch</t>
  </si>
  <si>
    <t>Jazz</t>
  </si>
  <si>
    <t>Rouges</t>
  </si>
  <si>
    <t>Reine de renettes</t>
  </si>
  <si>
    <t>Sundowner</t>
  </si>
  <si>
    <t>Tentation</t>
  </si>
  <si>
    <t>Angelys</t>
  </si>
  <si>
    <t>Beurré Hardy</t>
  </si>
  <si>
    <t>Passe Crassane</t>
  </si>
  <si>
    <t>Williams</t>
  </si>
  <si>
    <t>Morgenduft</t>
  </si>
  <si>
    <t>Decana del C.</t>
  </si>
  <si>
    <t>Fuji Group</t>
  </si>
  <si>
    <t>Gala Group</t>
  </si>
  <si>
    <t>Golden Group</t>
  </si>
  <si>
    <t>Llimonera</t>
  </si>
  <si>
    <t>Glockenapfel</t>
  </si>
  <si>
    <t>Kanada Reinette</t>
  </si>
  <si>
    <t>Maigold</t>
  </si>
  <si>
    <t>Boscs Flaschenbirne</t>
  </si>
  <si>
    <t>Gute Luise</t>
  </si>
  <si>
    <t>Jonagold (incl. Jonagored)</t>
  </si>
  <si>
    <t>Denmark:</t>
  </si>
  <si>
    <t>DECEMBER</t>
  </si>
  <si>
    <t>Belgium</t>
  </si>
  <si>
    <t>Club varieties</t>
  </si>
  <si>
    <t>Evelina</t>
  </si>
  <si>
    <t>Choupette</t>
  </si>
  <si>
    <t>Renette</t>
  </si>
  <si>
    <t>Annurca</t>
  </si>
  <si>
    <t>Portugal:</t>
  </si>
  <si>
    <t>ANP - Associação Nacional de Produtores de Pera Rocha</t>
  </si>
  <si>
    <t>Portugal</t>
  </si>
  <si>
    <t>Golden Delicius</t>
  </si>
  <si>
    <t>Rocha</t>
  </si>
  <si>
    <t>Doyenne du Comice</t>
  </si>
  <si>
    <t>Concorde</t>
  </si>
  <si>
    <t>AFRUCAT</t>
  </si>
  <si>
    <t>Bohemica</t>
  </si>
  <si>
    <t>Lucasova</t>
  </si>
  <si>
    <t>Ligol</t>
  </si>
  <si>
    <t>Durondeau</t>
  </si>
  <si>
    <t>** From 12/2014 Cox's is included in others</t>
  </si>
  <si>
    <t>Cox**</t>
  </si>
  <si>
    <t>Other new varieties</t>
  </si>
  <si>
    <t>United Kingdom**</t>
  </si>
  <si>
    <t>British Apples &amp; Pears</t>
  </si>
  <si>
    <t>Cosmic Crisp</t>
  </si>
  <si>
    <t>Slovakia</t>
  </si>
  <si>
    <t>Beurre Alexander Lucas**</t>
  </si>
  <si>
    <t>42-lb bushels to MT factor</t>
  </si>
  <si>
    <t>*** Starting from the 2022-2023 season, Italian pears work with a different methodology, which is why the figures are not comparable with previous years.</t>
  </si>
  <si>
    <t>Moved 2023</t>
  </si>
  <si>
    <t>United Kingdom</t>
  </si>
  <si>
    <t>YOY%</t>
  </si>
  <si>
    <t>Moved 2024</t>
  </si>
  <si>
    <t>%YOY</t>
  </si>
  <si>
    <t>Moved 2025</t>
  </si>
  <si>
    <t>Honey crisp</t>
  </si>
  <si>
    <t>Forelle</t>
  </si>
  <si>
    <t>* Portugal: Rocha stocks are compared per two months, in this case to stocks of 1 January</t>
  </si>
  <si>
    <t>** As of the 2016/ 2017 season, the UK works with a different methodology, which is why the figures are not comparable.</t>
  </si>
  <si>
    <t xml:space="preserve">* Other new varieties: Ariane, Belgica, Cameo, Diwa, Greenstar, Goldrush, Honey Crunch, Jazz, Junami, Kanzi, Mairac, Rubens, Tentation (temptation), Wellant, ... </t>
  </si>
  <si>
    <t>Rubinett</t>
  </si>
  <si>
    <t>Please note that this is just an indication. There might be a difference of  +- 10%</t>
  </si>
  <si>
    <t>A significant part of apples are sold to the industry</t>
  </si>
  <si>
    <t>* Rocha stocks are compared per two months, in this case to stocks of 1 January</t>
  </si>
  <si>
    <t>* As of 2017, the UK works with a different methodology, which is why the figures are not comparable.</t>
  </si>
  <si>
    <t>Overview Northern Hemisphere apple and pear stocks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</si>
</sst>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Modern"/>
      <family val="3"/>
      <charset val="255"/>
    </font>
    <font>
      <b/>
      <sz val="10"/>
      <name val="Arial"/>
      <family val="2"/>
      <charset val="238"/>
    </font>
    <font>
      <sz val="10"/>
      <name val="ArialMT"/>
    </font>
    <font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9" fillId="0" borderId="0"/>
  </cellStyleXfs>
  <cellXfs count="195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0" fillId="0" borderId="1" xfId="0" applyNumberFormat="1" applyBorder="1"/>
    <xf numFmtId="0" fontId="7" fillId="0" borderId="0" xfId="0" applyFont="1"/>
    <xf numFmtId="0" fontId="0" fillId="2" borderId="2" xfId="0" applyFill="1" applyBorder="1"/>
    <xf numFmtId="0" fontId="0" fillId="2" borderId="2" xfId="0" quotePrefix="1" applyFill="1" applyBorder="1"/>
    <xf numFmtId="0" fontId="1" fillId="2" borderId="3" xfId="0" applyFont="1" applyFill="1" applyBorder="1"/>
    <xf numFmtId="0" fontId="1" fillId="3" borderId="4" xfId="0" applyFont="1" applyFill="1" applyBorder="1"/>
    <xf numFmtId="14" fontId="1" fillId="0" borderId="4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64" fontId="0" fillId="3" borderId="0" xfId="0" applyNumberFormat="1" applyFill="1"/>
    <xf numFmtId="164" fontId="0" fillId="3" borderId="1" xfId="0" applyNumberFormat="1" applyFill="1" applyBorder="1"/>
    <xf numFmtId="3" fontId="0" fillId="0" borderId="6" xfId="0" applyNumberFormat="1" applyBorder="1"/>
    <xf numFmtId="0" fontId="0" fillId="2" borderId="7" xfId="0" applyFill="1" applyBorder="1"/>
    <xf numFmtId="0" fontId="1" fillId="2" borderId="7" xfId="0" applyFont="1" applyFill="1" applyBorder="1"/>
    <xf numFmtId="164" fontId="1" fillId="3" borderId="1" xfId="0" applyNumberFormat="1" applyFont="1" applyFill="1" applyBorder="1"/>
    <xf numFmtId="3" fontId="1" fillId="0" borderId="1" xfId="0" applyNumberFormat="1" applyFont="1" applyBorder="1"/>
    <xf numFmtId="164" fontId="0" fillId="0" borderId="0" xfId="0" applyNumberFormat="1"/>
    <xf numFmtId="3" fontId="0" fillId="0" borderId="8" xfId="0" applyNumberFormat="1" applyBorder="1"/>
    <xf numFmtId="3" fontId="1" fillId="0" borderId="8" xfId="0" applyNumberFormat="1" applyFont="1" applyBorder="1"/>
    <xf numFmtId="0" fontId="3" fillId="0" borderId="0" xfId="1" applyAlignment="1">
      <alignment horizontal="center"/>
    </xf>
    <xf numFmtId="0" fontId="3" fillId="0" borderId="0" xfId="1"/>
    <xf numFmtId="0" fontId="1" fillId="4" borderId="3" xfId="1" applyFont="1" applyFill="1" applyBorder="1"/>
    <xf numFmtId="14" fontId="1" fillId="0" borderId="4" xfId="1" applyNumberFormat="1" applyFont="1" applyBorder="1" applyAlignment="1">
      <alignment horizontal="center"/>
    </xf>
    <xf numFmtId="0" fontId="3" fillId="4" borderId="2" xfId="1" applyFill="1" applyBorder="1"/>
    <xf numFmtId="164" fontId="3" fillId="5" borderId="0" xfId="1" applyNumberFormat="1" applyFill="1"/>
    <xf numFmtId="3" fontId="3" fillId="0" borderId="0" xfId="1" applyNumberFormat="1"/>
    <xf numFmtId="3" fontId="3" fillId="0" borderId="6" xfId="1" applyNumberFormat="1" applyBorder="1"/>
    <xf numFmtId="0" fontId="3" fillId="4" borderId="7" xfId="1" applyFill="1" applyBorder="1"/>
    <xf numFmtId="164" fontId="3" fillId="5" borderId="1" xfId="1" applyNumberFormat="1" applyFill="1" applyBorder="1"/>
    <xf numFmtId="3" fontId="3" fillId="0" borderId="1" xfId="1" applyNumberFormat="1" applyBorder="1"/>
    <xf numFmtId="3" fontId="3" fillId="0" borderId="8" xfId="1" applyNumberFormat="1" applyBorder="1"/>
    <xf numFmtId="0" fontId="1" fillId="4" borderId="7" xfId="1" applyFont="1" applyFill="1" applyBorder="1"/>
    <xf numFmtId="164" fontId="1" fillId="5" borderId="4" xfId="1" applyNumberFormat="1" applyFont="1" applyFill="1" applyBorder="1"/>
    <xf numFmtId="3" fontId="1" fillId="0" borderId="4" xfId="1" applyNumberFormat="1" applyFont="1" applyBorder="1"/>
    <xf numFmtId="3" fontId="1" fillId="0" borderId="5" xfId="1" applyNumberFormat="1" applyFont="1" applyBorder="1"/>
    <xf numFmtId="3" fontId="0" fillId="0" borderId="0" xfId="0" quotePrefix="1" applyNumberFormat="1"/>
    <xf numFmtId="0" fontId="1" fillId="0" borderId="4" xfId="0" applyFont="1" applyBorder="1" applyAlignment="1">
      <alignment horizontal="center"/>
    </xf>
    <xf numFmtId="14" fontId="1" fillId="0" borderId="4" xfId="1" applyNumberFormat="1" applyFont="1" applyBorder="1"/>
    <xf numFmtId="14" fontId="1" fillId="0" borderId="5" xfId="1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3" fontId="3" fillId="0" borderId="10" xfId="1" applyNumberFormat="1" applyBorder="1"/>
    <xf numFmtId="3" fontId="3" fillId="0" borderId="11" xfId="1" applyNumberFormat="1" applyBorder="1"/>
    <xf numFmtId="164" fontId="3" fillId="3" borderId="0" xfId="1" applyNumberFormat="1" applyFill="1"/>
    <xf numFmtId="3" fontId="1" fillId="0" borderId="1" xfId="1" applyNumberFormat="1" applyFont="1" applyBorder="1"/>
    <xf numFmtId="3" fontId="1" fillId="0" borderId="8" xfId="1" applyNumberFormat="1" applyFont="1" applyBorder="1"/>
    <xf numFmtId="164" fontId="3" fillId="0" borderId="0" xfId="1" applyNumberFormat="1"/>
    <xf numFmtId="0" fontId="1" fillId="0" borderId="0" xfId="1" applyFont="1" applyAlignment="1">
      <alignment vertical="center"/>
    </xf>
    <xf numFmtId="14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3" fontId="1" fillId="0" borderId="0" xfId="1" applyNumberFormat="1" applyFont="1" applyAlignment="1">
      <alignment horizontal="left" vertical="center" wrapText="1"/>
    </xf>
    <xf numFmtId="14" fontId="1" fillId="0" borderId="0" xfId="1" applyNumberFormat="1" applyFont="1"/>
    <xf numFmtId="9" fontId="3" fillId="0" borderId="0" xfId="1" applyNumberFormat="1" applyAlignment="1">
      <alignment horizontal="center"/>
    </xf>
    <xf numFmtId="0" fontId="3" fillId="0" borderId="0" xfId="1" quotePrefix="1"/>
    <xf numFmtId="3" fontId="1" fillId="0" borderId="0" xfId="1" applyNumberFormat="1" applyFont="1"/>
    <xf numFmtId="9" fontId="1" fillId="0" borderId="0" xfId="1" applyNumberFormat="1" applyFont="1" applyAlignment="1">
      <alignment horizontal="center" vertical="center"/>
    </xf>
    <xf numFmtId="3" fontId="3" fillId="0" borderId="0" xfId="1" applyNumberFormat="1" applyAlignment="1">
      <alignment horizontal="center"/>
    </xf>
    <xf numFmtId="0" fontId="3" fillId="0" borderId="1" xfId="1" applyBorder="1"/>
    <xf numFmtId="3" fontId="3" fillId="0" borderId="0" xfId="1" quotePrefix="1" applyNumberFormat="1"/>
    <xf numFmtId="3" fontId="3" fillId="0" borderId="1" xfId="1" quotePrefix="1" applyNumberFormat="1" applyBorder="1"/>
    <xf numFmtId="0" fontId="4" fillId="0" borderId="0" xfId="1" applyFont="1"/>
    <xf numFmtId="0" fontId="5" fillId="0" borderId="0" xfId="1" applyFont="1"/>
    <xf numFmtId="0" fontId="6" fillId="0" borderId="0" xfId="1" applyFont="1"/>
    <xf numFmtId="164" fontId="3" fillId="3" borderId="4" xfId="1" applyNumberFormat="1" applyFill="1" applyBorder="1"/>
    <xf numFmtId="164" fontId="1" fillId="5" borderId="1" xfId="1" applyNumberFormat="1" applyFont="1" applyFill="1" applyBorder="1"/>
    <xf numFmtId="3" fontId="3" fillId="0" borderId="6" xfId="1" applyNumberFormat="1" applyBorder="1" applyAlignment="1">
      <alignment horizontal="right"/>
    </xf>
    <xf numFmtId="3" fontId="1" fillId="0" borderId="8" xfId="1" applyNumberFormat="1" applyFont="1" applyBorder="1" applyAlignment="1">
      <alignment horizontal="right"/>
    </xf>
    <xf numFmtId="3" fontId="3" fillId="0" borderId="0" xfId="1" applyNumberFormat="1" applyAlignment="1">
      <alignment horizontal="right"/>
    </xf>
    <xf numFmtId="3" fontId="3" fillId="0" borderId="1" xfId="1" applyNumberFormat="1" applyBorder="1" applyAlignment="1">
      <alignment horizontal="right"/>
    </xf>
    <xf numFmtId="3" fontId="1" fillId="0" borderId="1" xfId="1" applyNumberFormat="1" applyFont="1" applyBorder="1" applyAlignment="1">
      <alignment horizontal="right"/>
    </xf>
    <xf numFmtId="0" fontId="1" fillId="0" borderId="0" xfId="0" applyFont="1"/>
    <xf numFmtId="0" fontId="3" fillId="4" borderId="9" xfId="1" applyFill="1" applyBorder="1"/>
    <xf numFmtId="164" fontId="3" fillId="5" borderId="10" xfId="1" applyNumberFormat="1" applyFill="1" applyBorder="1"/>
    <xf numFmtId="0" fontId="1" fillId="4" borderId="3" xfId="0" applyFont="1" applyFill="1" applyBorder="1"/>
    <xf numFmtId="0" fontId="3" fillId="4" borderId="2" xfId="0" applyFont="1" applyFill="1" applyBorder="1"/>
    <xf numFmtId="164" fontId="3" fillId="5" borderId="0" xfId="0" applyNumberFormat="1" applyFont="1" applyFill="1"/>
    <xf numFmtId="3" fontId="3" fillId="0" borderId="6" xfId="0" applyNumberFormat="1" applyFont="1" applyBorder="1"/>
    <xf numFmtId="0" fontId="3" fillId="4" borderId="7" xfId="0" applyFont="1" applyFill="1" applyBorder="1"/>
    <xf numFmtId="164" fontId="3" fillId="5" borderId="1" xfId="0" applyNumberFormat="1" applyFont="1" applyFill="1" applyBorder="1"/>
    <xf numFmtId="0" fontId="1" fillId="4" borderId="7" xfId="0" applyFont="1" applyFill="1" applyBorder="1"/>
    <xf numFmtId="164" fontId="1" fillId="5" borderId="1" xfId="0" applyNumberFormat="1" applyFont="1" applyFill="1" applyBorder="1"/>
    <xf numFmtId="3" fontId="1" fillId="0" borderId="5" xfId="0" applyNumberFormat="1" applyFont="1" applyBorder="1"/>
    <xf numFmtId="3" fontId="3" fillId="0" borderId="0" xfId="0" applyNumberFormat="1" applyFont="1"/>
    <xf numFmtId="3" fontId="1" fillId="0" borderId="4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1" fillId="0" borderId="1" xfId="0" applyNumberFormat="1" applyFont="1" applyBorder="1"/>
    <xf numFmtId="164" fontId="1" fillId="0" borderId="4" xfId="1" applyNumberFormat="1" applyFont="1" applyBorder="1"/>
    <xf numFmtId="164" fontId="1" fillId="3" borderId="4" xfId="0" applyNumberFormat="1" applyFont="1" applyFill="1" applyBorder="1"/>
    <xf numFmtId="14" fontId="3" fillId="0" borderId="0" xfId="1" applyNumberFormat="1" applyAlignment="1">
      <alignment horizontal="center"/>
    </xf>
    <xf numFmtId="14" fontId="3" fillId="0" borderId="6" xfId="1" applyNumberFormat="1" applyBorder="1" applyAlignment="1">
      <alignment horizontal="center"/>
    </xf>
    <xf numFmtId="3" fontId="0" fillId="0" borderId="0" xfId="0" applyNumberFormat="1" applyAlignment="1">
      <alignment horizontal="right"/>
    </xf>
    <xf numFmtId="0" fontId="1" fillId="6" borderId="4" xfId="0" applyFont="1" applyFill="1" applyBorder="1"/>
    <xf numFmtId="3" fontId="1" fillId="0" borderId="4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center"/>
    </xf>
    <xf numFmtId="3" fontId="10" fillId="0" borderId="4" xfId="1" applyNumberFormat="1" applyFont="1" applyBorder="1"/>
    <xf numFmtId="3" fontId="1" fillId="0" borderId="4" xfId="1" applyNumberFormat="1" applyFont="1" applyBorder="1" applyAlignment="1">
      <alignment horizontal="right"/>
    </xf>
    <xf numFmtId="3" fontId="3" fillId="0" borderId="1" xfId="0" applyNumberFormat="1" applyFont="1" applyBorder="1"/>
    <xf numFmtId="3" fontId="3" fillId="6" borderId="0" xfId="1" applyNumberFormat="1" applyFill="1"/>
    <xf numFmtId="3" fontId="1" fillId="6" borderId="4" xfId="1" applyNumberFormat="1" applyFont="1" applyFill="1" applyBorder="1"/>
    <xf numFmtId="3" fontId="3" fillId="0" borderId="0" xfId="0" applyNumberFormat="1" applyFont="1" applyAlignment="1">
      <alignment horizontal="right"/>
    </xf>
    <xf numFmtId="14" fontId="1" fillId="0" borderId="4" xfId="0" applyNumberFormat="1" applyFont="1" applyBorder="1"/>
    <xf numFmtId="0" fontId="3" fillId="0" borderId="0" xfId="0" applyFont="1" applyAlignment="1">
      <alignment horizontal="right"/>
    </xf>
    <xf numFmtId="3" fontId="3" fillId="0" borderId="4" xfId="1" applyNumberFormat="1" applyBorder="1"/>
    <xf numFmtId="0" fontId="1" fillId="2" borderId="3" xfId="1" applyFont="1" applyFill="1" applyBorder="1"/>
    <xf numFmtId="3" fontId="1" fillId="0" borderId="5" xfId="1" applyNumberFormat="1" applyFont="1" applyBorder="1" applyAlignment="1">
      <alignment horizontal="right"/>
    </xf>
    <xf numFmtId="3" fontId="1" fillId="0" borderId="0" xfId="1" applyNumberFormat="1" applyFont="1" applyAlignment="1">
      <alignment vertical="center"/>
    </xf>
    <xf numFmtId="3" fontId="3" fillId="6" borderId="4" xfId="1" applyNumberFormat="1" applyFill="1" applyBorder="1"/>
    <xf numFmtId="3" fontId="3" fillId="0" borderId="6" xfId="1" quotePrefix="1" applyNumberFormat="1" applyBorder="1"/>
    <xf numFmtId="3" fontId="3" fillId="0" borderId="5" xfId="1" applyNumberFormat="1" applyBorder="1"/>
    <xf numFmtId="0" fontId="0" fillId="2" borderId="7" xfId="0" quotePrefix="1" applyFill="1" applyBorder="1"/>
    <xf numFmtId="3" fontId="2" fillId="0" borderId="0" xfId="0" applyNumberFormat="1" applyFont="1"/>
    <xf numFmtId="3" fontId="12" fillId="0" borderId="0" xfId="0" applyNumberFormat="1" applyFont="1"/>
    <xf numFmtId="3" fontId="0" fillId="7" borderId="0" xfId="0" applyNumberFormat="1" applyFill="1" applyAlignment="1">
      <alignment horizontal="right"/>
    </xf>
    <xf numFmtId="3" fontId="0" fillId="7" borderId="0" xfId="0" applyNumberFormat="1" applyFill="1"/>
    <xf numFmtId="3" fontId="0" fillId="7" borderId="1" xfId="0" applyNumberFormat="1" applyFill="1" applyBorder="1"/>
    <xf numFmtId="3" fontId="1" fillId="7" borderId="1" xfId="0" applyNumberFormat="1" applyFont="1" applyFill="1" applyBorder="1"/>
    <xf numFmtId="3" fontId="3" fillId="7" borderId="0" xfId="1" applyNumberFormat="1" applyFill="1" applyAlignment="1">
      <alignment horizontal="right"/>
    </xf>
    <xf numFmtId="3" fontId="1" fillId="7" borderId="4" xfId="1" applyNumberFormat="1" applyFont="1" applyFill="1" applyBorder="1"/>
    <xf numFmtId="3" fontId="3" fillId="7" borderId="0" xfId="1" applyNumberFormat="1" applyFill="1"/>
    <xf numFmtId="3" fontId="3" fillId="7" borderId="0" xfId="0" applyNumberFormat="1" applyFont="1" applyFill="1"/>
    <xf numFmtId="3" fontId="3" fillId="7" borderId="1" xfId="1" applyNumberFormat="1" applyFill="1" applyBorder="1"/>
    <xf numFmtId="164" fontId="3" fillId="7" borderId="0" xfId="0" applyNumberFormat="1" applyFont="1" applyFill="1"/>
    <xf numFmtId="164" fontId="3" fillId="7" borderId="1" xfId="0" applyNumberFormat="1" applyFont="1" applyFill="1" applyBorder="1"/>
    <xf numFmtId="164" fontId="1" fillId="7" borderId="1" xfId="0" applyNumberFormat="1" applyFont="1" applyFill="1" applyBorder="1"/>
    <xf numFmtId="3" fontId="11" fillId="0" borderId="0" xfId="0" applyNumberFormat="1" applyFont="1"/>
    <xf numFmtId="0" fontId="1" fillId="8" borderId="4" xfId="0" applyFont="1" applyFill="1" applyBorder="1"/>
    <xf numFmtId="0" fontId="1" fillId="0" borderId="4" xfId="0" applyFont="1" applyBorder="1"/>
    <xf numFmtId="14" fontId="1" fillId="7" borderId="4" xfId="0" applyNumberFormat="1" applyFont="1" applyFill="1" applyBorder="1"/>
    <xf numFmtId="3" fontId="0" fillId="8" borderId="0" xfId="0" applyNumberFormat="1" applyFill="1"/>
    <xf numFmtId="3" fontId="1" fillId="8" borderId="4" xfId="0" applyNumberFormat="1" applyFont="1" applyFill="1" applyBorder="1"/>
    <xf numFmtId="3" fontId="1" fillId="7" borderId="4" xfId="0" applyNumberFormat="1" applyFont="1" applyFill="1" applyBorder="1"/>
    <xf numFmtId="164" fontId="3" fillId="5" borderId="0" xfId="0" applyNumberFormat="1" applyFont="1" applyFill="1" applyAlignment="1">
      <alignment horizontal="right"/>
    </xf>
    <xf numFmtId="3" fontId="3" fillId="8" borderId="0" xfId="0" applyNumberFormat="1" applyFont="1" applyFill="1" applyAlignment="1">
      <alignment horizontal="right"/>
    </xf>
    <xf numFmtId="0" fontId="0" fillId="4" borderId="2" xfId="0" applyFill="1" applyBorder="1"/>
    <xf numFmtId="0" fontId="0" fillId="4" borderId="7" xfId="0" applyFill="1" applyBorder="1"/>
    <xf numFmtId="2" fontId="0" fillId="0" borderId="0" xfId="0" applyNumberFormat="1"/>
    <xf numFmtId="164" fontId="0" fillId="3" borderId="0" xfId="0" applyNumberFormat="1" applyFill="1" applyAlignment="1">
      <alignment horizontal="right"/>
    </xf>
    <xf numFmtId="3" fontId="0" fillId="8" borderId="0" xfId="0" applyNumberFormat="1" applyFill="1" applyAlignment="1">
      <alignment horizontal="right"/>
    </xf>
    <xf numFmtId="3" fontId="0" fillId="8" borderId="1" xfId="0" applyNumberFormat="1" applyFill="1" applyBorder="1"/>
    <xf numFmtId="3" fontId="1" fillId="8" borderId="1" xfId="0" applyNumberFormat="1" applyFont="1" applyFill="1" applyBorder="1"/>
    <xf numFmtId="0" fontId="13" fillId="0" borderId="0" xfId="0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right" vertical="center" wrapText="1"/>
    </xf>
    <xf numFmtId="3" fontId="0" fillId="0" borderId="0" xfId="0" quotePrefix="1" applyNumberFormat="1" applyAlignment="1">
      <alignment horizontal="right"/>
    </xf>
    <xf numFmtId="0" fontId="0" fillId="0" borderId="0" xfId="0" quotePrefix="1"/>
    <xf numFmtId="3" fontId="3" fillId="8" borderId="0" xfId="0" applyNumberFormat="1" applyFont="1" applyFill="1"/>
    <xf numFmtId="164" fontId="1" fillId="5" borderId="4" xfId="0" applyNumberFormat="1" applyFont="1" applyFill="1" applyBorder="1"/>
    <xf numFmtId="3" fontId="3" fillId="8" borderId="10" xfId="1" applyNumberFormat="1" applyFill="1" applyBorder="1"/>
    <xf numFmtId="3" fontId="3" fillId="7" borderId="10" xfId="1" applyNumberFormat="1" applyFill="1" applyBorder="1"/>
    <xf numFmtId="3" fontId="3" fillId="8" borderId="0" xfId="1" applyNumberFormat="1" applyFill="1"/>
    <xf numFmtId="164" fontId="3" fillId="5" borderId="0" xfId="1" applyNumberFormat="1" applyFill="1" applyAlignment="1">
      <alignment horizontal="right"/>
    </xf>
    <xf numFmtId="3" fontId="3" fillId="8" borderId="0" xfId="1" applyNumberFormat="1" applyFill="1" applyAlignment="1">
      <alignment horizontal="right"/>
    </xf>
    <xf numFmtId="3" fontId="3" fillId="8" borderId="1" xfId="1" applyNumberFormat="1" applyFill="1" applyBorder="1"/>
    <xf numFmtId="3" fontId="1" fillId="8" borderId="1" xfId="1" applyNumberFormat="1" applyFont="1" applyFill="1" applyBorder="1"/>
    <xf numFmtId="0" fontId="3" fillId="2" borderId="2" xfId="0" applyFont="1" applyFill="1" applyBorder="1"/>
    <xf numFmtId="3" fontId="3" fillId="9" borderId="0" xfId="1" applyNumberFormat="1" applyFill="1"/>
    <xf numFmtId="164" fontId="0" fillId="3" borderId="1" xfId="0" applyNumberFormat="1" applyFill="1" applyBorder="1" applyAlignment="1">
      <alignment horizontal="right"/>
    </xf>
    <xf numFmtId="3" fontId="0" fillId="8" borderId="1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7" borderId="1" xfId="0" applyNumberForma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3" fontId="1" fillId="8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7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1" fillId="8" borderId="4" xfId="1" applyNumberFormat="1" applyFont="1" applyFill="1" applyBorder="1"/>
    <xf numFmtId="164" fontId="3" fillId="5" borderId="1" xfId="0" applyNumberFormat="1" applyFont="1" applyFill="1" applyBorder="1" applyAlignment="1">
      <alignment horizontal="right"/>
    </xf>
    <xf numFmtId="3" fontId="3" fillId="8" borderId="1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164" fontId="3" fillId="5" borderId="1" xfId="1" applyNumberFormat="1" applyFill="1" applyBorder="1" applyAlignment="1">
      <alignment horizontal="right"/>
    </xf>
    <xf numFmtId="3" fontId="3" fillId="8" borderId="1" xfId="0" applyNumberFormat="1" applyFont="1" applyFill="1" applyBorder="1"/>
    <xf numFmtId="3" fontId="3" fillId="7" borderId="1" xfId="0" applyNumberFormat="1" applyFont="1" applyFill="1" applyBorder="1"/>
    <xf numFmtId="164" fontId="3" fillId="5" borderId="4" xfId="1" applyNumberFormat="1" applyFill="1" applyBorder="1"/>
    <xf numFmtId="164" fontId="3" fillId="8" borderId="0" xfId="0" applyNumberFormat="1" applyFont="1" applyFill="1"/>
    <xf numFmtId="164" fontId="3" fillId="8" borderId="1" xfId="0" applyNumberFormat="1" applyFont="1" applyFill="1" applyBorder="1"/>
    <xf numFmtId="164" fontId="1" fillId="8" borderId="1" xfId="0" applyNumberFormat="1" applyFont="1" applyFill="1" applyBorder="1"/>
    <xf numFmtId="3" fontId="0" fillId="8" borderId="4" xfId="0" applyNumberFormat="1" applyFill="1" applyBorder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" fillId="5" borderId="4" xfId="1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left" vertical="center" wrapText="1"/>
    </xf>
    <xf numFmtId="0" fontId="8" fillId="0" borderId="0" xfId="1" applyFont="1"/>
  </cellXfs>
  <cellStyles count="5">
    <cellStyle name="Normal" xfId="0" builtinId="0"/>
    <cellStyle name="Normal 2" xfId="1" xr:uid="{00000000-0005-0000-0000-000001000000}"/>
    <cellStyle name="Normale 2" xfId="2" xr:uid="{00000000-0005-0000-0000-000002000000}"/>
    <cellStyle name="Normale_4_uesto_pere" xfId="3" xr:uid="{00000000-0005-0000-0000-000003000000}"/>
    <cellStyle name="Standard_LBNOV94" xfId="4" xr:uid="{00000000-0005-0000-0000-000004000000}"/>
  </cellStyles>
  <dxfs count="30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9:G39"/>
  <sheetViews>
    <sheetView workbookViewId="0"/>
  </sheetViews>
  <sheetFormatPr defaultColWidth="8.6640625" defaultRowHeight="13.2"/>
  <cols>
    <col min="1" max="2" width="8.6640625" customWidth="1"/>
    <col min="3" max="3" width="18.44140625" customWidth="1"/>
  </cols>
  <sheetData>
    <row r="19" spans="2:7">
      <c r="B19" s="3" t="s">
        <v>181</v>
      </c>
      <c r="G19" s="76" t="s">
        <v>136</v>
      </c>
    </row>
    <row r="21" spans="2:7">
      <c r="B21" t="s">
        <v>60</v>
      </c>
      <c r="C21" t="s">
        <v>61</v>
      </c>
    </row>
    <row r="22" spans="2:7">
      <c r="C22" t="s">
        <v>62</v>
      </c>
    </row>
    <row r="23" spans="2:7">
      <c r="C23" t="s">
        <v>90</v>
      </c>
    </row>
    <row r="26" spans="2:7">
      <c r="B26" t="s">
        <v>63</v>
      </c>
      <c r="C26" t="s">
        <v>64</v>
      </c>
      <c r="D26" t="s">
        <v>65</v>
      </c>
    </row>
    <row r="27" spans="2:7">
      <c r="C27" t="s">
        <v>66</v>
      </c>
      <c r="D27" t="s">
        <v>67</v>
      </c>
    </row>
    <row r="28" spans="2:7">
      <c r="C28" t="s">
        <v>68</v>
      </c>
      <c r="D28" t="s">
        <v>69</v>
      </c>
    </row>
    <row r="29" spans="2:7">
      <c r="C29" t="s">
        <v>70</v>
      </c>
      <c r="D29" s="3" t="s">
        <v>84</v>
      </c>
    </row>
    <row r="30" spans="2:7">
      <c r="C30" s="3" t="s">
        <v>135</v>
      </c>
      <c r="D30" t="s">
        <v>71</v>
      </c>
    </row>
    <row r="31" spans="2:7">
      <c r="C31" t="s">
        <v>72</v>
      </c>
      <c r="D31" t="s">
        <v>89</v>
      </c>
    </row>
    <row r="32" spans="2:7">
      <c r="C32" t="s">
        <v>73</v>
      </c>
      <c r="D32" t="s">
        <v>95</v>
      </c>
    </row>
    <row r="33" spans="3:4">
      <c r="C33" t="s">
        <v>74</v>
      </c>
      <c r="D33" t="s">
        <v>75</v>
      </c>
    </row>
    <row r="34" spans="3:4">
      <c r="C34" t="s">
        <v>76</v>
      </c>
      <c r="D34" s="8" t="s">
        <v>83</v>
      </c>
    </row>
    <row r="35" spans="3:4">
      <c r="C35" t="s">
        <v>143</v>
      </c>
      <c r="D35" s="8" t="s">
        <v>144</v>
      </c>
    </row>
    <row r="36" spans="3:4">
      <c r="C36" t="s">
        <v>78</v>
      </c>
      <c r="D36" t="s">
        <v>150</v>
      </c>
    </row>
    <row r="37" spans="3:4">
      <c r="C37" t="s">
        <v>77</v>
      </c>
      <c r="D37" t="s">
        <v>82</v>
      </c>
    </row>
    <row r="38" spans="3:4">
      <c r="C38" t="s">
        <v>79</v>
      </c>
      <c r="D38" t="s">
        <v>81</v>
      </c>
    </row>
    <row r="39" spans="3:4">
      <c r="C39" t="s">
        <v>80</v>
      </c>
      <c r="D39" s="3" t="s">
        <v>159</v>
      </c>
    </row>
  </sheetData>
  <phoneticPr fontId="2" type="noConversion"/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8"/>
  <sheetViews>
    <sheetView zoomScaleNormal="100" workbookViewId="0"/>
  </sheetViews>
  <sheetFormatPr defaultColWidth="9.109375" defaultRowHeight="13.2"/>
  <cols>
    <col min="1" max="1" width="19.332031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1" width="11.44140625" style="26" customWidth="1"/>
    <col min="12" max="12" width="11.44140625" style="26" bestFit="1" customWidth="1"/>
    <col min="13" max="13" width="11.44140625" style="26" customWidth="1"/>
    <col min="14" max="24" width="10.109375" style="26" bestFit="1" customWidth="1"/>
    <col min="25" max="16384" width="9.109375" style="26"/>
  </cols>
  <sheetData>
    <row r="1" spans="1:25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28">
        <v>39783</v>
      </c>
      <c r="W1" s="28">
        <v>39417</v>
      </c>
      <c r="X1" s="44">
        <v>39052</v>
      </c>
    </row>
    <row r="2" spans="1:25">
      <c r="A2" s="80" t="s">
        <v>3</v>
      </c>
      <c r="B2" s="81">
        <f t="shared" ref="B2:B21" si="0">IFERROR(((E2-F2)/F2),"")</f>
        <v>0.89261384008605238</v>
      </c>
      <c r="C2" s="155">
        <v>-1307</v>
      </c>
      <c r="D2" s="88">
        <v>-2384</v>
      </c>
      <c r="E2" s="126">
        <v>10557</v>
      </c>
      <c r="F2" s="31">
        <v>5578</v>
      </c>
      <c r="G2" s="31">
        <v>9688</v>
      </c>
      <c r="H2" s="31">
        <v>9644</v>
      </c>
      <c r="I2" s="31">
        <v>12048</v>
      </c>
      <c r="J2" s="31">
        <v>4646</v>
      </c>
      <c r="K2" s="31">
        <v>9601</v>
      </c>
      <c r="L2" s="31">
        <v>12195</v>
      </c>
      <c r="M2" s="31">
        <v>2695</v>
      </c>
      <c r="N2" s="31">
        <v>13933</v>
      </c>
      <c r="O2" s="31">
        <v>8771</v>
      </c>
      <c r="P2" s="31">
        <v>12791</v>
      </c>
      <c r="Q2" s="31">
        <v>6565</v>
      </c>
      <c r="R2" s="31">
        <v>9036</v>
      </c>
      <c r="S2" s="31">
        <v>6862</v>
      </c>
      <c r="T2" s="31">
        <v>7675</v>
      </c>
      <c r="U2" s="31">
        <v>7960</v>
      </c>
      <c r="V2" s="31">
        <v>12486</v>
      </c>
      <c r="W2" s="31">
        <v>9699</v>
      </c>
      <c r="X2" s="32">
        <v>13259</v>
      </c>
    </row>
    <row r="3" spans="1:25">
      <c r="A3" s="80" t="s">
        <v>10</v>
      </c>
      <c r="B3" s="81">
        <f t="shared" si="0"/>
        <v>0.4479891235614013</v>
      </c>
      <c r="C3" s="155">
        <v>-3037</v>
      </c>
      <c r="D3" s="88">
        <v>-6042</v>
      </c>
      <c r="E3" s="126">
        <v>45797</v>
      </c>
      <c r="F3" s="31">
        <v>31628</v>
      </c>
      <c r="G3" s="31">
        <v>36981</v>
      </c>
      <c r="H3" s="31">
        <v>49098</v>
      </c>
      <c r="I3" s="31">
        <v>42627</v>
      </c>
      <c r="J3" s="31">
        <v>46672</v>
      </c>
      <c r="K3" s="31">
        <v>47174</v>
      </c>
      <c r="L3" s="31">
        <v>51970</v>
      </c>
      <c r="M3" s="31">
        <v>25544</v>
      </c>
      <c r="N3" s="31">
        <v>45168</v>
      </c>
      <c r="O3" s="31">
        <v>51812</v>
      </c>
      <c r="P3" s="31">
        <v>47717</v>
      </c>
      <c r="Q3" s="31">
        <v>34473</v>
      </c>
      <c r="R3" s="31">
        <v>40002</v>
      </c>
      <c r="S3" s="31">
        <v>34861</v>
      </c>
      <c r="T3" s="31">
        <v>29621</v>
      </c>
      <c r="U3" s="31">
        <v>30549</v>
      </c>
      <c r="V3" s="31">
        <v>24941</v>
      </c>
      <c r="W3" s="31">
        <v>23057</v>
      </c>
      <c r="X3" s="32">
        <v>17023</v>
      </c>
    </row>
    <row r="4" spans="1:25">
      <c r="A4" s="80" t="s">
        <v>4</v>
      </c>
      <c r="B4" s="81" t="str">
        <f t="shared" si="0"/>
        <v/>
      </c>
      <c r="C4" s="155">
        <v>0</v>
      </c>
      <c r="D4" s="88">
        <v>0</v>
      </c>
      <c r="E4" s="126">
        <v>0</v>
      </c>
      <c r="F4" s="31">
        <v>0</v>
      </c>
      <c r="G4" s="31"/>
      <c r="H4" s="31">
        <v>0</v>
      </c>
      <c r="I4" s="31">
        <v>0</v>
      </c>
      <c r="J4" s="31">
        <v>78</v>
      </c>
      <c r="K4" s="31">
        <v>49</v>
      </c>
      <c r="L4" s="31">
        <v>239</v>
      </c>
      <c r="M4" s="31">
        <v>61</v>
      </c>
      <c r="N4" s="31">
        <v>394</v>
      </c>
      <c r="O4" s="31">
        <v>625</v>
      </c>
      <c r="P4" s="31">
        <v>469</v>
      </c>
      <c r="Q4" s="31">
        <v>205</v>
      </c>
      <c r="R4" s="31">
        <v>351</v>
      </c>
      <c r="S4" s="31">
        <v>863</v>
      </c>
      <c r="T4" s="31">
        <v>903</v>
      </c>
      <c r="U4" s="31">
        <v>1715</v>
      </c>
      <c r="V4" s="31">
        <v>2845</v>
      </c>
      <c r="W4" s="31">
        <v>1947</v>
      </c>
      <c r="X4" s="32">
        <v>4063</v>
      </c>
    </row>
    <row r="5" spans="1:25">
      <c r="A5" s="80" t="s">
        <v>1</v>
      </c>
      <c r="B5" s="81">
        <f t="shared" si="0"/>
        <v>0.27978452288299838</v>
      </c>
      <c r="C5" s="155">
        <v>-10223</v>
      </c>
      <c r="D5" s="88">
        <v>-8042</v>
      </c>
      <c r="E5" s="126">
        <v>83863</v>
      </c>
      <c r="F5" s="31">
        <v>65529</v>
      </c>
      <c r="G5" s="31">
        <v>57796</v>
      </c>
      <c r="H5" s="31">
        <v>93785</v>
      </c>
      <c r="I5" s="31">
        <v>65607</v>
      </c>
      <c r="J5" s="31">
        <v>67387</v>
      </c>
      <c r="K5" s="31">
        <v>72030</v>
      </c>
      <c r="L5" s="31">
        <v>66109</v>
      </c>
      <c r="M5" s="31">
        <v>44229</v>
      </c>
      <c r="N5" s="31">
        <v>66592</v>
      </c>
      <c r="O5" s="31">
        <v>74990</v>
      </c>
      <c r="P5" s="31">
        <v>82248</v>
      </c>
      <c r="Q5" s="31">
        <v>56161</v>
      </c>
      <c r="R5" s="31">
        <v>62118</v>
      </c>
      <c r="S5" s="31">
        <v>68545</v>
      </c>
      <c r="T5" s="31">
        <v>53752</v>
      </c>
      <c r="U5" s="31">
        <v>78217</v>
      </c>
      <c r="V5" s="31">
        <v>53128</v>
      </c>
      <c r="W5" s="31">
        <v>66569</v>
      </c>
      <c r="X5" s="32">
        <v>59742</v>
      </c>
    </row>
    <row r="6" spans="1:25">
      <c r="A6" s="80" t="s">
        <v>11</v>
      </c>
      <c r="B6" s="81">
        <f t="shared" si="0"/>
        <v>-1.9629396984924625E-2</v>
      </c>
      <c r="C6" s="155">
        <v>445</v>
      </c>
      <c r="D6" s="88">
        <v>-92</v>
      </c>
      <c r="E6" s="126">
        <v>6243</v>
      </c>
      <c r="F6" s="31">
        <v>6368</v>
      </c>
      <c r="G6" s="31">
        <v>5421</v>
      </c>
      <c r="H6" s="31">
        <v>7937</v>
      </c>
      <c r="I6" s="31">
        <v>5986</v>
      </c>
      <c r="J6" s="31">
        <v>8297</v>
      </c>
      <c r="K6" s="31">
        <v>7523</v>
      </c>
      <c r="L6" s="31">
        <v>12006</v>
      </c>
      <c r="M6" s="31">
        <v>3628</v>
      </c>
      <c r="N6" s="31">
        <v>8348</v>
      </c>
      <c r="O6" s="31">
        <v>9802</v>
      </c>
      <c r="P6" s="31">
        <v>9580</v>
      </c>
      <c r="Q6" s="31">
        <v>9368</v>
      </c>
      <c r="R6" s="31">
        <v>7038</v>
      </c>
      <c r="S6" s="31">
        <v>8784</v>
      </c>
      <c r="T6" s="31">
        <v>6829</v>
      </c>
      <c r="U6" s="31">
        <v>7108</v>
      </c>
      <c r="V6" s="31">
        <v>5350</v>
      </c>
      <c r="W6" s="31">
        <v>6013</v>
      </c>
      <c r="X6" s="32">
        <v>3478</v>
      </c>
    </row>
    <row r="7" spans="1:25">
      <c r="A7" s="80" t="s">
        <v>8</v>
      </c>
      <c r="B7" s="81">
        <f t="shared" si="0"/>
        <v>1.0595347330922438</v>
      </c>
      <c r="C7" s="155">
        <v>-3778</v>
      </c>
      <c r="D7" s="88">
        <v>-4679</v>
      </c>
      <c r="E7" s="126">
        <v>38157</v>
      </c>
      <c r="F7" s="31">
        <v>18527</v>
      </c>
      <c r="G7" s="31">
        <v>31026</v>
      </c>
      <c r="H7" s="31">
        <v>33320</v>
      </c>
      <c r="I7" s="31">
        <v>31827</v>
      </c>
      <c r="J7" s="31">
        <v>32686</v>
      </c>
      <c r="K7" s="31">
        <v>25176</v>
      </c>
      <c r="L7" s="31">
        <v>28164</v>
      </c>
      <c r="M7" s="31">
        <v>18216</v>
      </c>
      <c r="N7" s="31">
        <v>25457</v>
      </c>
      <c r="O7" s="31">
        <v>26016</v>
      </c>
      <c r="P7" s="31">
        <v>20533</v>
      </c>
      <c r="Q7" s="31">
        <v>20480</v>
      </c>
      <c r="R7" s="31">
        <v>21061</v>
      </c>
      <c r="S7" s="31">
        <v>21023</v>
      </c>
      <c r="T7" s="31">
        <v>15525</v>
      </c>
      <c r="U7" s="31">
        <v>18851</v>
      </c>
      <c r="V7" s="31">
        <v>20571</v>
      </c>
      <c r="W7" s="31">
        <v>17274</v>
      </c>
      <c r="X7" s="32">
        <v>13724</v>
      </c>
    </row>
    <row r="8" spans="1:25">
      <c r="A8" s="80" t="s">
        <v>13</v>
      </c>
      <c r="B8" s="81" t="str">
        <f t="shared" si="0"/>
        <v/>
      </c>
      <c r="C8" s="155">
        <v>0</v>
      </c>
      <c r="D8" s="88">
        <v>0</v>
      </c>
      <c r="E8" s="126">
        <v>0</v>
      </c>
      <c r="F8" s="31">
        <v>0</v>
      </c>
      <c r="G8" s="31"/>
      <c r="H8" s="31">
        <v>0</v>
      </c>
      <c r="I8" s="31">
        <v>0</v>
      </c>
      <c r="J8" s="31">
        <v>428</v>
      </c>
      <c r="K8" s="31">
        <v>115</v>
      </c>
      <c r="L8" s="31">
        <v>860</v>
      </c>
      <c r="M8" s="31">
        <v>369</v>
      </c>
      <c r="N8" s="31">
        <v>1959</v>
      </c>
      <c r="O8" s="31">
        <v>1788</v>
      </c>
      <c r="P8" s="31">
        <v>3825</v>
      </c>
      <c r="Q8" s="31">
        <v>3185</v>
      </c>
      <c r="R8" s="31">
        <v>5470</v>
      </c>
      <c r="S8" s="31">
        <v>7011</v>
      </c>
      <c r="T8" s="31">
        <v>7856</v>
      </c>
      <c r="U8" s="31">
        <v>13168</v>
      </c>
      <c r="V8" s="31">
        <v>14899</v>
      </c>
      <c r="W8" s="31">
        <v>11136</v>
      </c>
      <c r="X8" s="32">
        <v>13605</v>
      </c>
    </row>
    <row r="9" spans="1:25">
      <c r="A9" s="80" t="s">
        <v>2</v>
      </c>
      <c r="B9" s="81">
        <f t="shared" si="0"/>
        <v>0.2656716417910448</v>
      </c>
      <c r="C9" s="155">
        <v>-1309</v>
      </c>
      <c r="D9" s="88">
        <v>-156</v>
      </c>
      <c r="E9" s="126">
        <v>2120</v>
      </c>
      <c r="F9" s="31">
        <v>1675</v>
      </c>
      <c r="G9" s="31">
        <v>3302</v>
      </c>
      <c r="H9" s="31">
        <v>3108</v>
      </c>
      <c r="I9" s="31">
        <v>3732</v>
      </c>
      <c r="J9" s="31">
        <v>5012</v>
      </c>
      <c r="K9" s="31">
        <v>3675</v>
      </c>
      <c r="L9" s="31">
        <v>4251</v>
      </c>
      <c r="M9" s="31">
        <v>4603</v>
      </c>
      <c r="N9" s="31">
        <v>8798</v>
      </c>
      <c r="O9" s="31">
        <v>9446</v>
      </c>
      <c r="P9" s="31">
        <v>9533</v>
      </c>
      <c r="Q9" s="31">
        <v>12491</v>
      </c>
      <c r="R9" s="31">
        <v>15332</v>
      </c>
      <c r="S9" s="31">
        <v>19189</v>
      </c>
      <c r="T9" s="31">
        <v>14541</v>
      </c>
      <c r="U9" s="31">
        <v>20830</v>
      </c>
      <c r="V9" s="31">
        <v>23889</v>
      </c>
      <c r="W9" s="31">
        <v>19578</v>
      </c>
      <c r="X9" s="32">
        <v>18429</v>
      </c>
    </row>
    <row r="10" spans="1:25">
      <c r="A10" s="80" t="s">
        <v>14</v>
      </c>
      <c r="B10" s="81">
        <f t="shared" si="0"/>
        <v>2.2273684210526317</v>
      </c>
      <c r="C10" s="155">
        <v>-725</v>
      </c>
      <c r="D10" s="88">
        <v>-244</v>
      </c>
      <c r="E10" s="126">
        <v>1533</v>
      </c>
      <c r="F10" s="31">
        <v>475</v>
      </c>
      <c r="G10" s="31">
        <v>587</v>
      </c>
      <c r="H10" s="31">
        <v>2570</v>
      </c>
      <c r="I10" s="31">
        <v>2229</v>
      </c>
      <c r="J10" s="31">
        <v>3098</v>
      </c>
      <c r="K10" s="31">
        <v>4363</v>
      </c>
      <c r="L10" s="31">
        <v>3868</v>
      </c>
      <c r="M10" s="31">
        <v>1127</v>
      </c>
      <c r="N10" s="31">
        <v>4065</v>
      </c>
      <c r="O10" s="31">
        <v>5753</v>
      </c>
      <c r="P10" s="31">
        <v>4420</v>
      </c>
      <c r="Q10" s="31">
        <v>1289</v>
      </c>
      <c r="R10" s="31">
        <v>2458</v>
      </c>
      <c r="S10" s="31">
        <v>5425</v>
      </c>
      <c r="T10" s="31">
        <v>5329</v>
      </c>
      <c r="U10" s="31">
        <v>7051</v>
      </c>
      <c r="V10" s="31">
        <v>7956</v>
      </c>
      <c r="W10" s="31">
        <v>5470</v>
      </c>
      <c r="X10" s="32">
        <v>8007</v>
      </c>
    </row>
    <row r="11" spans="1:25">
      <c r="A11" s="80" t="s">
        <v>9</v>
      </c>
      <c r="B11" s="81">
        <f t="shared" si="0"/>
        <v>0.83695652173913049</v>
      </c>
      <c r="C11" s="155">
        <v>439</v>
      </c>
      <c r="D11" s="88">
        <v>10</v>
      </c>
      <c r="E11" s="126">
        <v>2028</v>
      </c>
      <c r="F11" s="31">
        <v>1104</v>
      </c>
      <c r="G11" s="31">
        <v>1825</v>
      </c>
      <c r="H11" s="31">
        <v>3151</v>
      </c>
      <c r="I11" s="31">
        <v>5318</v>
      </c>
      <c r="J11" s="31">
        <v>6116</v>
      </c>
      <c r="K11" s="31">
        <v>4132</v>
      </c>
      <c r="L11" s="31">
        <v>9068</v>
      </c>
      <c r="M11" s="31">
        <v>8699</v>
      </c>
      <c r="N11" s="31">
        <v>11621</v>
      </c>
      <c r="O11" s="31">
        <v>16839</v>
      </c>
      <c r="P11" s="31">
        <v>11650</v>
      </c>
      <c r="Q11" s="31">
        <v>22499</v>
      </c>
      <c r="R11" s="31">
        <v>24959</v>
      </c>
      <c r="S11" s="31">
        <v>24190</v>
      </c>
      <c r="T11" s="31">
        <v>22799</v>
      </c>
      <c r="U11" s="31">
        <v>27468</v>
      </c>
      <c r="V11" s="31">
        <v>28247</v>
      </c>
      <c r="W11" s="31">
        <v>19808</v>
      </c>
      <c r="X11" s="32">
        <v>27140</v>
      </c>
      <c r="Y11" s="31"/>
    </row>
    <row r="12" spans="1:25">
      <c r="A12" s="80" t="s">
        <v>108</v>
      </c>
      <c r="B12" s="81" t="str">
        <f t="shared" si="0"/>
        <v/>
      </c>
      <c r="C12" s="155">
        <v>0</v>
      </c>
      <c r="D12" s="88">
        <v>0</v>
      </c>
      <c r="E12" s="126">
        <v>0</v>
      </c>
      <c r="F12" s="31">
        <v>0</v>
      </c>
      <c r="G12" s="31"/>
      <c r="H12" s="31">
        <v>0</v>
      </c>
      <c r="I12" s="31">
        <v>0</v>
      </c>
      <c r="J12" s="31">
        <v>10</v>
      </c>
      <c r="K12" s="31">
        <v>29</v>
      </c>
      <c r="L12" s="31">
        <v>195</v>
      </c>
      <c r="M12" s="31">
        <v>192</v>
      </c>
      <c r="N12" s="31">
        <v>155</v>
      </c>
      <c r="O12" s="31">
        <v>359</v>
      </c>
      <c r="P12" s="31">
        <v>158</v>
      </c>
      <c r="Q12" s="31">
        <v>168</v>
      </c>
      <c r="R12" s="31">
        <v>185</v>
      </c>
      <c r="S12" s="31">
        <v>245</v>
      </c>
      <c r="T12" s="31">
        <v>362</v>
      </c>
      <c r="U12" s="31">
        <v>513</v>
      </c>
      <c r="V12" s="31">
        <v>1471</v>
      </c>
      <c r="W12" s="31">
        <v>676</v>
      </c>
      <c r="X12" s="32">
        <v>823</v>
      </c>
      <c r="Y12" s="31"/>
    </row>
    <row r="13" spans="1:25">
      <c r="A13" s="80" t="s">
        <v>25</v>
      </c>
      <c r="B13" s="81">
        <f t="shared" si="0"/>
        <v>0.23547129695251595</v>
      </c>
      <c r="C13" s="155">
        <v>-1676</v>
      </c>
      <c r="D13" s="88">
        <v>-624</v>
      </c>
      <c r="E13" s="126">
        <v>13946</v>
      </c>
      <c r="F13" s="31">
        <v>11288</v>
      </c>
      <c r="G13" s="31">
        <v>12405</v>
      </c>
      <c r="H13" s="31">
        <v>19266</v>
      </c>
      <c r="I13" s="31">
        <v>18722</v>
      </c>
      <c r="J13" s="31">
        <v>11717</v>
      </c>
      <c r="K13" s="31">
        <v>17131</v>
      </c>
      <c r="L13" s="31">
        <v>32334</v>
      </c>
      <c r="M13" s="31">
        <v>12822</v>
      </c>
      <c r="N13" s="31">
        <v>34639</v>
      </c>
      <c r="O13" s="31">
        <v>30092</v>
      </c>
      <c r="P13" s="31">
        <v>39508</v>
      </c>
      <c r="Q13" s="31">
        <v>31729</v>
      </c>
      <c r="R13" s="31">
        <v>42384</v>
      </c>
      <c r="S13" s="31">
        <v>51310</v>
      </c>
      <c r="T13" s="31">
        <v>41085</v>
      </c>
      <c r="U13" s="31">
        <v>61512</v>
      </c>
      <c r="V13" s="31">
        <v>54942</v>
      </c>
      <c r="W13" s="31">
        <v>59439</v>
      </c>
      <c r="X13" s="32">
        <v>55076</v>
      </c>
      <c r="Y13" s="31"/>
    </row>
    <row r="14" spans="1:25">
      <c r="A14" s="80" t="s">
        <v>24</v>
      </c>
      <c r="B14" s="81">
        <f t="shared" si="0"/>
        <v>0.28904711407362521</v>
      </c>
      <c r="C14" s="155">
        <v>-478</v>
      </c>
      <c r="D14" s="88">
        <v>-39</v>
      </c>
      <c r="E14" s="126">
        <v>17018</v>
      </c>
      <c r="F14" s="31">
        <v>13202</v>
      </c>
      <c r="G14" s="31">
        <v>14121</v>
      </c>
      <c r="H14" s="31">
        <v>21874</v>
      </c>
      <c r="I14" s="31">
        <v>28321</v>
      </c>
      <c r="J14" s="31">
        <v>30635</v>
      </c>
      <c r="K14" s="31">
        <v>33235</v>
      </c>
      <c r="L14" s="31">
        <v>53917</v>
      </c>
      <c r="M14" s="31">
        <v>26710</v>
      </c>
      <c r="N14" s="31">
        <v>60211</v>
      </c>
      <c r="O14" s="31">
        <v>57143</v>
      </c>
      <c r="P14" s="31">
        <v>72896</v>
      </c>
      <c r="Q14" s="31">
        <v>47555</v>
      </c>
      <c r="R14" s="31">
        <v>67943</v>
      </c>
      <c r="S14" s="31">
        <v>75469</v>
      </c>
      <c r="T14" s="31">
        <v>58306</v>
      </c>
      <c r="U14" s="31">
        <v>82449</v>
      </c>
      <c r="V14" s="31">
        <v>67519</v>
      </c>
      <c r="W14" s="31">
        <v>62254</v>
      </c>
      <c r="X14" s="32">
        <v>62677</v>
      </c>
    </row>
    <row r="15" spans="1:25">
      <c r="A15" s="80" t="s">
        <v>12</v>
      </c>
      <c r="B15" s="81">
        <f t="shared" si="0"/>
        <v>0.26644615950018374</v>
      </c>
      <c r="C15" s="155">
        <v>-717</v>
      </c>
      <c r="D15" s="88">
        <v>-431</v>
      </c>
      <c r="E15" s="126">
        <v>6892</v>
      </c>
      <c r="F15" s="31">
        <v>5442</v>
      </c>
      <c r="G15" s="31">
        <v>8089</v>
      </c>
      <c r="H15" s="31">
        <v>7703</v>
      </c>
      <c r="I15" s="31">
        <v>8154</v>
      </c>
      <c r="J15" s="31">
        <v>9384</v>
      </c>
      <c r="K15" s="31">
        <v>8986</v>
      </c>
      <c r="L15" s="31">
        <v>11251</v>
      </c>
      <c r="M15" s="31">
        <v>8165</v>
      </c>
      <c r="N15" s="31">
        <v>13201</v>
      </c>
      <c r="O15" s="31">
        <v>13516</v>
      </c>
      <c r="P15" s="31">
        <v>15080</v>
      </c>
      <c r="Q15" s="31">
        <v>12267</v>
      </c>
      <c r="R15" s="31">
        <v>14352</v>
      </c>
      <c r="S15" s="31">
        <v>12379</v>
      </c>
      <c r="T15" s="31">
        <v>10476</v>
      </c>
      <c r="U15" s="31">
        <v>13681</v>
      </c>
      <c r="V15" s="31">
        <v>11513</v>
      </c>
      <c r="W15" s="31">
        <v>10920</v>
      </c>
      <c r="X15" s="32">
        <v>8908</v>
      </c>
    </row>
    <row r="16" spans="1:25">
      <c r="A16" s="80" t="s">
        <v>96</v>
      </c>
      <c r="B16" s="81">
        <f t="shared" si="0"/>
        <v>0.44569304392411552</v>
      </c>
      <c r="C16" s="155">
        <v>-1629</v>
      </c>
      <c r="D16" s="88">
        <v>-1375</v>
      </c>
      <c r="E16" s="126">
        <v>67670</v>
      </c>
      <c r="F16" s="31">
        <v>46808</v>
      </c>
      <c r="G16" s="31">
        <v>56200</v>
      </c>
      <c r="H16" s="31">
        <v>62079</v>
      </c>
      <c r="I16" s="31">
        <v>69944</v>
      </c>
      <c r="J16" s="31">
        <v>57058</v>
      </c>
      <c r="K16" s="31">
        <v>59748</v>
      </c>
      <c r="L16" s="31">
        <v>71383</v>
      </c>
      <c r="M16" s="31">
        <v>41596</v>
      </c>
      <c r="N16" s="31">
        <v>60149</v>
      </c>
      <c r="O16" s="31">
        <v>37163</v>
      </c>
      <c r="P16" s="31">
        <v>45161</v>
      </c>
      <c r="Q16" s="31">
        <v>19737</v>
      </c>
      <c r="R16" s="31">
        <v>30514</v>
      </c>
      <c r="S16" s="31">
        <v>23972</v>
      </c>
      <c r="T16" s="31">
        <v>18137</v>
      </c>
      <c r="U16" s="31">
        <v>21424</v>
      </c>
      <c r="V16" s="31">
        <v>14648</v>
      </c>
      <c r="W16" s="31">
        <v>13893</v>
      </c>
      <c r="X16" s="32">
        <v>7213</v>
      </c>
    </row>
    <row r="17" spans="1:24">
      <c r="A17" s="80" t="s">
        <v>87</v>
      </c>
      <c r="B17" s="81">
        <f t="shared" si="0"/>
        <v>15.035087719298245</v>
      </c>
      <c r="C17" s="155">
        <v>-886</v>
      </c>
      <c r="D17" s="88">
        <v>-574</v>
      </c>
      <c r="E17" s="126">
        <v>914</v>
      </c>
      <c r="F17" s="31">
        <v>57</v>
      </c>
      <c r="G17" s="31">
        <v>1004</v>
      </c>
      <c r="H17" s="31">
        <v>1985</v>
      </c>
      <c r="I17" s="31">
        <v>2455</v>
      </c>
      <c r="J17" s="31">
        <v>815</v>
      </c>
      <c r="K17" s="31">
        <v>1141</v>
      </c>
      <c r="L17" s="31">
        <v>1851</v>
      </c>
      <c r="M17" s="31">
        <v>2697</v>
      </c>
      <c r="N17" s="31">
        <v>4529</v>
      </c>
      <c r="O17" s="31">
        <v>3026</v>
      </c>
      <c r="P17" s="31">
        <v>3429</v>
      </c>
      <c r="Q17" s="31">
        <v>1601</v>
      </c>
      <c r="R17" s="31">
        <v>4368</v>
      </c>
      <c r="S17" s="31">
        <v>4436</v>
      </c>
      <c r="T17" s="31">
        <v>2743</v>
      </c>
      <c r="U17" s="31">
        <v>4282</v>
      </c>
      <c r="V17" s="31">
        <v>3079</v>
      </c>
      <c r="W17" s="31">
        <v>2888</v>
      </c>
      <c r="X17" s="32">
        <v>2738</v>
      </c>
    </row>
    <row r="18" spans="1:24">
      <c r="A18" s="80" t="s">
        <v>102</v>
      </c>
      <c r="B18" s="81">
        <f t="shared" si="0"/>
        <v>0.5643224699828473</v>
      </c>
      <c r="C18" s="155">
        <v>-563</v>
      </c>
      <c r="D18" s="88">
        <v>-65</v>
      </c>
      <c r="E18" s="126">
        <v>2736</v>
      </c>
      <c r="F18" s="31">
        <v>1749</v>
      </c>
      <c r="G18" s="31">
        <v>1874</v>
      </c>
      <c r="H18" s="31">
        <v>2917</v>
      </c>
      <c r="I18" s="31">
        <v>1831</v>
      </c>
      <c r="J18" s="31">
        <v>2027</v>
      </c>
      <c r="K18" s="31">
        <v>1883</v>
      </c>
      <c r="L18" s="31">
        <v>2988</v>
      </c>
      <c r="M18" s="31">
        <v>657</v>
      </c>
      <c r="N18" s="31">
        <v>1510</v>
      </c>
      <c r="O18" s="31">
        <v>2312</v>
      </c>
      <c r="P18" s="31">
        <v>2382</v>
      </c>
      <c r="Q18" s="31">
        <v>2228</v>
      </c>
      <c r="R18" s="31">
        <v>2173</v>
      </c>
      <c r="S18" s="31">
        <v>2521</v>
      </c>
      <c r="T18" s="31">
        <v>1982</v>
      </c>
      <c r="U18" s="31">
        <v>2308</v>
      </c>
      <c r="V18" s="31">
        <v>1661</v>
      </c>
      <c r="W18" s="31">
        <v>2078</v>
      </c>
      <c r="X18" s="32">
        <v>1036</v>
      </c>
    </row>
    <row r="19" spans="1:24">
      <c r="A19" s="80" t="s">
        <v>138</v>
      </c>
      <c r="B19" s="81">
        <f t="shared" si="0"/>
        <v>0.8958317963850978</v>
      </c>
      <c r="C19" s="155">
        <v>1525</v>
      </c>
      <c r="D19" s="88">
        <v>-4773</v>
      </c>
      <c r="E19" s="126">
        <v>77094</v>
      </c>
      <c r="F19" s="31">
        <v>40665</v>
      </c>
      <c r="G19" s="31">
        <v>37551</v>
      </c>
      <c r="H19" s="31">
        <v>52305</v>
      </c>
      <c r="I19" s="31">
        <v>46087</v>
      </c>
      <c r="J19" s="31">
        <v>47155</v>
      </c>
      <c r="K19" s="31">
        <v>37376</v>
      </c>
      <c r="L19" s="31">
        <v>43056</v>
      </c>
      <c r="M19" s="31">
        <v>20530</v>
      </c>
      <c r="N19" s="31">
        <v>31232</v>
      </c>
      <c r="O19" s="31">
        <v>29902</v>
      </c>
      <c r="P19" s="31">
        <v>29197</v>
      </c>
      <c r="Q19" s="31">
        <v>19591</v>
      </c>
      <c r="R19" s="31">
        <v>18353</v>
      </c>
      <c r="S19" s="31">
        <v>15681</v>
      </c>
      <c r="T19" s="31">
        <v>8536</v>
      </c>
      <c r="U19" s="31">
        <v>8901</v>
      </c>
      <c r="V19" s="31">
        <v>2842</v>
      </c>
      <c r="W19" s="31">
        <v>3336</v>
      </c>
      <c r="X19" s="32">
        <v>1871</v>
      </c>
    </row>
    <row r="20" spans="1:24" ht="13.8" thickBot="1">
      <c r="A20" s="83" t="s">
        <v>5</v>
      </c>
      <c r="B20" s="84">
        <f t="shared" si="0"/>
        <v>0.46780853341489526</v>
      </c>
      <c r="C20" s="155">
        <v>-6675</v>
      </c>
      <c r="D20" s="88">
        <v>-1646</v>
      </c>
      <c r="E20" s="126">
        <v>19196</v>
      </c>
      <c r="F20" s="35">
        <v>13078</v>
      </c>
      <c r="G20" s="35">
        <v>35900</v>
      </c>
      <c r="H20" s="35">
        <v>16424</v>
      </c>
      <c r="I20" s="35">
        <v>6418</v>
      </c>
      <c r="J20" s="35">
        <v>5721</v>
      </c>
      <c r="K20" s="35">
        <v>9667</v>
      </c>
      <c r="L20" s="35">
        <v>8012</v>
      </c>
      <c r="M20" s="35">
        <v>3228</v>
      </c>
      <c r="N20" s="35">
        <v>8377</v>
      </c>
      <c r="O20" s="35">
        <v>5695</v>
      </c>
      <c r="P20" s="35">
        <v>8540</v>
      </c>
      <c r="Q20" s="35">
        <v>6562</v>
      </c>
      <c r="R20" s="35">
        <v>7954</v>
      </c>
      <c r="S20" s="35">
        <v>7543</v>
      </c>
      <c r="T20" s="35">
        <v>7035</v>
      </c>
      <c r="U20" s="35">
        <v>9245</v>
      </c>
      <c r="V20" s="35">
        <v>9124</v>
      </c>
      <c r="W20" s="35">
        <v>8005</v>
      </c>
      <c r="X20" s="36">
        <v>7206</v>
      </c>
    </row>
    <row r="21" spans="1:24" ht="13.8" thickBot="1">
      <c r="A21" s="85" t="s">
        <v>92</v>
      </c>
      <c r="B21" s="86">
        <f t="shared" si="0"/>
        <v>0.50381688091103571</v>
      </c>
      <c r="C21" s="136">
        <v>-30594</v>
      </c>
      <c r="D21" s="89">
        <v>-31156</v>
      </c>
      <c r="E21" s="137">
        <f t="shared" ref="E21" si="1">SUM(E2:E20)</f>
        <v>395764</v>
      </c>
      <c r="F21" s="50">
        <f t="shared" ref="F21:L21" si="2">SUM(F2:F20)</f>
        <v>263173</v>
      </c>
      <c r="G21" s="50">
        <f t="shared" si="2"/>
        <v>313770</v>
      </c>
      <c r="H21" s="50">
        <f t="shared" si="2"/>
        <v>387166</v>
      </c>
      <c r="I21" s="50">
        <f t="shared" si="2"/>
        <v>351306</v>
      </c>
      <c r="J21" s="50">
        <f t="shared" si="2"/>
        <v>338942</v>
      </c>
      <c r="K21" s="50">
        <f t="shared" si="2"/>
        <v>343034</v>
      </c>
      <c r="L21" s="50">
        <f t="shared" si="2"/>
        <v>413717</v>
      </c>
      <c r="M21" s="50">
        <v>225768</v>
      </c>
      <c r="N21" s="39">
        <f>SUM(N2:N20)</f>
        <v>400338</v>
      </c>
      <c r="O21" s="39">
        <f>SUM(O2:O20)</f>
        <v>385050</v>
      </c>
      <c r="P21" s="39">
        <f>SUM(P2:P20)</f>
        <v>419117</v>
      </c>
      <c r="Q21" s="39">
        <f>SUM(Q2:Q20)</f>
        <v>308154</v>
      </c>
      <c r="R21" s="39">
        <f>SUM(R2:R20)</f>
        <v>376051</v>
      </c>
      <c r="S21" s="39">
        <f t="shared" ref="S21:X21" si="3">SUM(S2:S20)</f>
        <v>390309</v>
      </c>
      <c r="T21" s="39">
        <f t="shared" si="3"/>
        <v>313492</v>
      </c>
      <c r="U21" s="39">
        <f t="shared" si="3"/>
        <v>417232</v>
      </c>
      <c r="V21" s="39">
        <f t="shared" si="3"/>
        <v>361111</v>
      </c>
      <c r="W21" s="39">
        <f t="shared" si="3"/>
        <v>344040</v>
      </c>
      <c r="X21" s="51">
        <f t="shared" si="3"/>
        <v>326018</v>
      </c>
    </row>
    <row r="23" spans="1:24" ht="13.8" thickBot="1">
      <c r="B23" s="3"/>
      <c r="C23" s="3"/>
      <c r="D23" s="3"/>
      <c r="E23" s="3"/>
    </row>
    <row r="24" spans="1:24" ht="13.8" thickBot="1">
      <c r="A24" s="27" t="s">
        <v>23</v>
      </c>
      <c r="B24" s="12" t="s">
        <v>169</v>
      </c>
      <c r="C24" s="132" t="s">
        <v>170</v>
      </c>
      <c r="D24" s="133" t="s">
        <v>168</v>
      </c>
      <c r="E24" s="134">
        <v>45992</v>
      </c>
      <c r="F24" s="13">
        <v>45627</v>
      </c>
      <c r="G24" s="13">
        <v>45261</v>
      </c>
      <c r="H24" s="13">
        <v>44896</v>
      </c>
      <c r="I24" s="13">
        <v>44531</v>
      </c>
      <c r="J24" s="13">
        <v>44166</v>
      </c>
      <c r="K24" s="13">
        <v>43800</v>
      </c>
      <c r="L24" s="13">
        <v>43435</v>
      </c>
      <c r="M24" s="13">
        <v>43070</v>
      </c>
      <c r="N24" s="13">
        <v>42705</v>
      </c>
      <c r="O24" s="28">
        <f>O1</f>
        <v>42339</v>
      </c>
      <c r="P24" s="28">
        <f>P1</f>
        <v>41974</v>
      </c>
      <c r="Q24" s="28">
        <v>41609</v>
      </c>
      <c r="R24" s="28">
        <v>41244</v>
      </c>
      <c r="S24" s="28">
        <v>40878</v>
      </c>
      <c r="T24" s="28">
        <v>40513</v>
      </c>
      <c r="U24" s="28">
        <v>40148</v>
      </c>
      <c r="V24" s="28">
        <v>39783</v>
      </c>
      <c r="W24" s="28">
        <v>39417</v>
      </c>
      <c r="X24" s="44">
        <v>39052</v>
      </c>
    </row>
    <row r="25" spans="1:24" ht="13.8" thickBot="1">
      <c r="A25" s="33" t="s">
        <v>5</v>
      </c>
      <c r="B25" s="185">
        <f t="shared" ref="B25:B26" si="4">IFERROR(((E25-F25)/F25),"")</f>
        <v>-3.9954909819639277E-2</v>
      </c>
      <c r="C25" s="162">
        <v>-2281</v>
      </c>
      <c r="D25" s="35">
        <v>-2682</v>
      </c>
      <c r="E25" s="127">
        <v>7665</v>
      </c>
      <c r="F25" s="35">
        <v>7984</v>
      </c>
      <c r="G25" s="35">
        <v>6483</v>
      </c>
      <c r="H25" s="35">
        <v>5083</v>
      </c>
      <c r="I25" s="35">
        <v>5542</v>
      </c>
      <c r="J25" s="35">
        <v>4953</v>
      </c>
      <c r="K25" s="35">
        <v>5376</v>
      </c>
      <c r="L25" s="35">
        <v>5040</v>
      </c>
      <c r="M25" s="35">
        <v>3221</v>
      </c>
      <c r="N25" s="35">
        <v>3457</v>
      </c>
      <c r="O25" s="35">
        <v>5609</v>
      </c>
      <c r="P25" s="35">
        <v>3339</v>
      </c>
      <c r="Q25" s="35">
        <v>5436</v>
      </c>
      <c r="R25" s="35">
        <v>2045</v>
      </c>
      <c r="S25" s="35">
        <v>4606</v>
      </c>
      <c r="T25" s="35">
        <v>3862</v>
      </c>
      <c r="U25" s="35">
        <v>4446</v>
      </c>
      <c r="V25" s="35">
        <v>2527</v>
      </c>
      <c r="W25" s="35">
        <v>2243</v>
      </c>
      <c r="X25" s="36">
        <v>2064</v>
      </c>
    </row>
    <row r="26" spans="1:24" ht="13.8" thickBot="1">
      <c r="A26" s="37" t="s">
        <v>92</v>
      </c>
      <c r="B26" s="38">
        <f t="shared" si="4"/>
        <v>-3.9954909819639277E-2</v>
      </c>
      <c r="C26" s="178">
        <v>-2281</v>
      </c>
      <c r="D26" s="39">
        <v>-2682</v>
      </c>
      <c r="E26" s="124">
        <f>SUM(E25)</f>
        <v>7665</v>
      </c>
      <c r="F26" s="50">
        <f>SUM(F25)</f>
        <v>7984</v>
      </c>
      <c r="G26" s="50">
        <v>6483</v>
      </c>
      <c r="H26" s="50">
        <v>5083</v>
      </c>
      <c r="I26" s="50">
        <v>5542</v>
      </c>
      <c r="J26" s="39">
        <v>4953</v>
      </c>
      <c r="K26" s="39">
        <v>5376</v>
      </c>
      <c r="L26" s="39"/>
      <c r="M26" s="39">
        <v>3221</v>
      </c>
      <c r="N26" s="39">
        <f>SUM(N25)</f>
        <v>3457</v>
      </c>
      <c r="O26" s="39">
        <f>SUM(O25)</f>
        <v>5609</v>
      </c>
      <c r="P26" s="39">
        <f>SUM(P25)</f>
        <v>3339</v>
      </c>
      <c r="Q26" s="39">
        <f>SUM(Q25)</f>
        <v>5436</v>
      </c>
      <c r="R26" s="39">
        <f>SUM(R25)</f>
        <v>2045</v>
      </c>
      <c r="S26" s="39">
        <f t="shared" ref="S26:X26" si="5">SUM(S25)</f>
        <v>4606</v>
      </c>
      <c r="T26" s="39">
        <f t="shared" si="5"/>
        <v>3862</v>
      </c>
      <c r="U26" s="39">
        <f t="shared" si="5"/>
        <v>4446</v>
      </c>
      <c r="V26" s="39">
        <f t="shared" si="5"/>
        <v>2527</v>
      </c>
      <c r="W26" s="39">
        <f t="shared" si="5"/>
        <v>2243</v>
      </c>
      <c r="X26" s="40">
        <f t="shared" si="5"/>
        <v>2064</v>
      </c>
    </row>
    <row r="27" spans="1:24">
      <c r="A27" s="26"/>
      <c r="B27" s="26"/>
      <c r="C27" s="26"/>
      <c r="D27" s="26"/>
      <c r="E27" s="26"/>
    </row>
    <row r="28" spans="1:24">
      <c r="A28" s="26"/>
      <c r="B28" s="26"/>
      <c r="C28" s="26"/>
      <c r="D28" s="26"/>
      <c r="E28" s="26"/>
    </row>
  </sheetData>
  <conditionalFormatting sqref="E1">
    <cfRule type="expression" dxfId="15" priority="2">
      <formula>ISBLANK(XFD1)=FALSE</formula>
    </cfRule>
  </conditionalFormatting>
  <conditionalFormatting sqref="E24">
    <cfRule type="expression" dxfId="14" priority="1">
      <formula>ISBLANK(XFD24)=FALSE</formula>
    </cfRule>
  </conditionalFormatting>
  <pageMargins left="0.75" right="0.75" top="1" bottom="1" header="0.5" footer="0.5"/>
  <pageSetup paperSize="9" scale="66" fitToHeight="3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47"/>
  <sheetViews>
    <sheetView zoomScaleNormal="100" workbookViewId="0"/>
  </sheetViews>
  <sheetFormatPr defaultColWidth="9.109375" defaultRowHeight="13.2"/>
  <cols>
    <col min="1" max="1" width="19.6640625" customWidth="1"/>
    <col min="2" max="3" width="10.6640625" customWidth="1"/>
    <col min="4" max="4" width="11.33203125" bestFit="1" customWidth="1"/>
    <col min="5" max="5" width="11.33203125" customWidth="1"/>
    <col min="6" max="11" width="11.6640625" style="26" customWidth="1"/>
    <col min="12" max="12" width="11.44140625" style="26" bestFit="1" customWidth="1"/>
    <col min="13" max="13" width="11.44140625" style="26" customWidth="1"/>
    <col min="14" max="24" width="10.109375" style="26" bestFit="1" customWidth="1"/>
    <col min="25" max="16384" width="9.109375" style="26"/>
  </cols>
  <sheetData>
    <row r="1" spans="1:30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28">
        <v>43435</v>
      </c>
      <c r="M1" s="28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28">
        <v>39783</v>
      </c>
      <c r="W1" s="28">
        <v>39417</v>
      </c>
      <c r="X1" s="44">
        <v>39052</v>
      </c>
    </row>
    <row r="2" spans="1:30">
      <c r="A2" s="9" t="s">
        <v>142</v>
      </c>
      <c r="B2" s="143">
        <f t="shared" ref="B2:B20" si="0">IFERROR(((E2-F2)/F2),"")</f>
        <v>0</v>
      </c>
      <c r="C2" s="135">
        <v>-7000</v>
      </c>
      <c r="D2" s="1">
        <v>-10000</v>
      </c>
      <c r="E2" s="120">
        <v>30000</v>
      </c>
      <c r="F2" s="31">
        <v>30000</v>
      </c>
      <c r="G2" s="31">
        <v>20000</v>
      </c>
      <c r="H2" s="31">
        <v>25000</v>
      </c>
      <c r="I2" s="31">
        <v>25000</v>
      </c>
      <c r="J2" s="31">
        <v>25000</v>
      </c>
      <c r="K2" s="31">
        <v>25000</v>
      </c>
      <c r="L2" s="31">
        <v>25000</v>
      </c>
      <c r="M2" s="31">
        <v>18000</v>
      </c>
      <c r="N2" s="31">
        <v>20000</v>
      </c>
      <c r="O2" s="31">
        <v>20000</v>
      </c>
      <c r="P2" s="31">
        <v>27000</v>
      </c>
      <c r="Q2" s="31"/>
      <c r="R2" s="31">
        <v>33521.627330017844</v>
      </c>
      <c r="S2" s="31">
        <v>20048.692952691636</v>
      </c>
      <c r="T2" s="31">
        <v>20000</v>
      </c>
      <c r="U2" s="31">
        <v>20000</v>
      </c>
      <c r="V2" s="31">
        <v>27000</v>
      </c>
      <c r="W2" s="31">
        <v>30000</v>
      </c>
      <c r="X2" s="32">
        <v>40000</v>
      </c>
    </row>
    <row r="3" spans="1:30">
      <c r="A3" s="9" t="s">
        <v>10</v>
      </c>
      <c r="B3" s="143">
        <f t="shared" si="0"/>
        <v>2.0339147125863231E-2</v>
      </c>
      <c r="C3" s="135">
        <v>-2211</v>
      </c>
      <c r="D3" s="1">
        <v>-5521.018</v>
      </c>
      <c r="E3" s="120">
        <v>25676</v>
      </c>
      <c r="F3" s="31">
        <v>25164.182000000001</v>
      </c>
      <c r="G3" s="31">
        <v>28077.066000000003</v>
      </c>
      <c r="H3" s="31">
        <v>26730.950999999997</v>
      </c>
      <c r="I3" s="31">
        <v>33396.163</v>
      </c>
      <c r="J3" s="31">
        <v>33448.295999999995</v>
      </c>
      <c r="K3" s="31">
        <v>41982</v>
      </c>
      <c r="L3" s="31">
        <v>52201</v>
      </c>
      <c r="M3" s="31">
        <v>43268</v>
      </c>
      <c r="N3" s="31">
        <v>65977.7</v>
      </c>
      <c r="O3" s="31">
        <v>60952</v>
      </c>
      <c r="P3" s="31">
        <v>70274</v>
      </c>
      <c r="Q3" s="31">
        <v>65487</v>
      </c>
      <c r="R3" s="31">
        <v>56620.344651172003</v>
      </c>
      <c r="S3" s="31">
        <v>75619.660078962304</v>
      </c>
      <c r="T3" s="31">
        <v>68936</v>
      </c>
      <c r="U3" s="31">
        <v>67343</v>
      </c>
      <c r="V3" s="31">
        <v>65212.2</v>
      </c>
      <c r="W3" s="31">
        <v>68212.5</v>
      </c>
      <c r="X3" s="32">
        <v>58382</v>
      </c>
      <c r="AA3" s="31"/>
      <c r="AB3" s="31"/>
      <c r="AC3" s="31"/>
      <c r="AD3" s="31"/>
    </row>
    <row r="4" spans="1:30">
      <c r="A4" s="9" t="s">
        <v>59</v>
      </c>
      <c r="B4" s="143">
        <f t="shared" si="0"/>
        <v>0.22531885255330902</v>
      </c>
      <c r="C4" s="135">
        <v>44338</v>
      </c>
      <c r="D4" s="1">
        <v>44190.377999999997</v>
      </c>
      <c r="E4" s="120">
        <v>148546</v>
      </c>
      <c r="F4" s="31">
        <v>121230.486</v>
      </c>
      <c r="G4" s="31">
        <v>115855.97099999999</v>
      </c>
      <c r="H4" s="31">
        <v>101324.682</v>
      </c>
      <c r="I4" s="31">
        <v>80779.28</v>
      </c>
      <c r="J4" s="31">
        <v>86428.510000000009</v>
      </c>
      <c r="K4" s="31">
        <v>78542</v>
      </c>
      <c r="L4" s="31">
        <v>87181</v>
      </c>
      <c r="M4" s="31">
        <v>85265</v>
      </c>
      <c r="N4" s="31">
        <v>77319.8</v>
      </c>
      <c r="O4" s="31">
        <v>65199.6</v>
      </c>
      <c r="P4" s="31">
        <v>80095</v>
      </c>
      <c r="Q4" s="31">
        <v>54692</v>
      </c>
      <c r="R4" s="31">
        <v>47002.900597184416</v>
      </c>
      <c r="S4" s="31">
        <v>68678.802578740462</v>
      </c>
      <c r="T4" s="31">
        <v>53863</v>
      </c>
      <c r="U4" s="31"/>
      <c r="V4" s="31"/>
      <c r="W4" s="31"/>
      <c r="X4" s="32"/>
      <c r="AA4" s="31"/>
      <c r="AB4" s="31"/>
      <c r="AC4" s="31"/>
      <c r="AD4" s="31"/>
    </row>
    <row r="5" spans="1:30">
      <c r="A5" s="9" t="s">
        <v>1</v>
      </c>
      <c r="B5" s="143" t="str">
        <f t="shared" si="0"/>
        <v/>
      </c>
      <c r="C5" s="135">
        <v>0</v>
      </c>
      <c r="D5" s="1">
        <v>0</v>
      </c>
      <c r="E5" s="120"/>
      <c r="F5" s="31"/>
      <c r="G5" s="31"/>
      <c r="H5" s="31"/>
      <c r="I5" s="31"/>
      <c r="J5" s="31"/>
      <c r="K5" s="31">
        <v>0</v>
      </c>
      <c r="L5" s="31">
        <v>1</v>
      </c>
      <c r="M5" s="31">
        <v>0</v>
      </c>
      <c r="N5" s="31">
        <v>3</v>
      </c>
      <c r="O5" s="31">
        <v>3</v>
      </c>
      <c r="P5" s="31">
        <v>55</v>
      </c>
      <c r="Q5" s="31">
        <v>74</v>
      </c>
      <c r="R5" s="31">
        <v>27.082915045647141</v>
      </c>
      <c r="S5" s="31">
        <v>135.32867743066853</v>
      </c>
      <c r="T5" s="31">
        <v>51</v>
      </c>
      <c r="U5" s="31">
        <v>131.06</v>
      </c>
      <c r="V5" s="31">
        <v>193</v>
      </c>
      <c r="W5" s="31">
        <v>142.69999999999999</v>
      </c>
      <c r="X5" s="32">
        <v>445</v>
      </c>
    </row>
    <row r="6" spans="1:30">
      <c r="A6" s="9" t="s">
        <v>11</v>
      </c>
      <c r="B6" s="143">
        <f t="shared" si="0"/>
        <v>0.15864843695648811</v>
      </c>
      <c r="C6" s="135">
        <v>-17478</v>
      </c>
      <c r="D6" s="1">
        <v>-8497.6879664083972</v>
      </c>
      <c r="E6" s="120">
        <v>123668</v>
      </c>
      <c r="F6" s="31">
        <v>106734.70576186884</v>
      </c>
      <c r="G6" s="31">
        <v>102442.53927391907</v>
      </c>
      <c r="H6" s="31">
        <v>109709.03731934683</v>
      </c>
      <c r="I6" s="31">
        <v>104940</v>
      </c>
      <c r="J6" s="31">
        <v>113461.572</v>
      </c>
      <c r="K6" s="31">
        <v>106451</v>
      </c>
      <c r="L6" s="31">
        <v>121634</v>
      </c>
      <c r="M6" s="31">
        <v>102338</v>
      </c>
      <c r="N6" s="31">
        <v>123523.6</v>
      </c>
      <c r="O6" s="31">
        <v>141357.37000000002</v>
      </c>
      <c r="P6" s="31">
        <v>138469</v>
      </c>
      <c r="Q6" s="31">
        <v>127792</v>
      </c>
      <c r="R6" s="31">
        <v>86538.941209191165</v>
      </c>
      <c r="S6" s="31">
        <v>117414.16784279092</v>
      </c>
      <c r="T6" s="31">
        <v>114824</v>
      </c>
      <c r="U6" s="31">
        <v>108514.8</v>
      </c>
      <c r="V6" s="31">
        <v>95016.1</v>
      </c>
      <c r="W6" s="31">
        <v>92063.96</v>
      </c>
      <c r="X6" s="32">
        <v>70484</v>
      </c>
    </row>
    <row r="7" spans="1:30">
      <c r="A7" s="9" t="s">
        <v>8</v>
      </c>
      <c r="B7" s="143">
        <f t="shared" si="0"/>
        <v>1.2872141677649794E-2</v>
      </c>
      <c r="C7" s="135">
        <v>-53258</v>
      </c>
      <c r="D7" s="1">
        <v>-50254.94425634708</v>
      </c>
      <c r="E7" s="120">
        <v>140944</v>
      </c>
      <c r="F7" s="31">
        <v>139152.80537437857</v>
      </c>
      <c r="G7" s="31">
        <v>127058.15217072394</v>
      </c>
      <c r="H7" s="31">
        <v>127224.65098840176</v>
      </c>
      <c r="I7" s="31">
        <v>155372.63569215324</v>
      </c>
      <c r="J7" s="31">
        <v>138420.76799999998</v>
      </c>
      <c r="K7" s="31">
        <v>140710</v>
      </c>
      <c r="L7" s="31">
        <v>139775</v>
      </c>
      <c r="M7" s="31">
        <v>89903</v>
      </c>
      <c r="N7" s="31">
        <v>110398</v>
      </c>
      <c r="O7" s="31">
        <v>103021.175</v>
      </c>
      <c r="P7" s="31">
        <v>108251</v>
      </c>
      <c r="Q7" s="31">
        <v>101080</v>
      </c>
      <c r="R7" s="31">
        <v>78928.64208136432</v>
      </c>
      <c r="S7" s="31">
        <v>110641.71936337168</v>
      </c>
      <c r="T7" s="31">
        <v>120664</v>
      </c>
      <c r="U7" s="31">
        <v>110075.79</v>
      </c>
      <c r="V7" s="31">
        <v>103517</v>
      </c>
      <c r="W7" s="31">
        <v>89692.35</v>
      </c>
      <c r="X7" s="32">
        <v>71921</v>
      </c>
    </row>
    <row r="8" spans="1:30">
      <c r="A8" s="9" t="s">
        <v>13</v>
      </c>
      <c r="B8" s="143" t="str">
        <f t="shared" si="0"/>
        <v/>
      </c>
      <c r="C8" s="135">
        <v>0</v>
      </c>
      <c r="D8" s="1">
        <v>0</v>
      </c>
      <c r="E8" s="120"/>
      <c r="F8" s="31"/>
      <c r="G8" s="31"/>
      <c r="H8" s="31"/>
      <c r="I8" s="31"/>
      <c r="J8" s="31"/>
      <c r="K8" s="31">
        <v>0</v>
      </c>
      <c r="L8" s="31">
        <v>6</v>
      </c>
      <c r="M8" s="31">
        <v>18</v>
      </c>
      <c r="N8" s="31">
        <v>30</v>
      </c>
      <c r="O8" s="31">
        <v>49</v>
      </c>
      <c r="P8" s="31">
        <v>35</v>
      </c>
      <c r="Q8" s="31">
        <v>65</v>
      </c>
      <c r="R8" s="31">
        <v>65.199610295076454</v>
      </c>
      <c r="S8" s="31">
        <v>46.111993791190756</v>
      </c>
      <c r="T8" s="31">
        <v>63</v>
      </c>
      <c r="U8" s="31">
        <v>229.75</v>
      </c>
      <c r="V8" s="31">
        <v>369</v>
      </c>
      <c r="W8" s="31">
        <v>374.3</v>
      </c>
      <c r="X8" s="32">
        <v>479</v>
      </c>
    </row>
    <row r="9" spans="1:30">
      <c r="A9" s="9" t="s">
        <v>2</v>
      </c>
      <c r="B9" s="143">
        <f t="shared" si="0"/>
        <v>-3.3404282664589606E-2</v>
      </c>
      <c r="C9" s="135">
        <v>-56580</v>
      </c>
      <c r="D9" s="1">
        <v>-52152.471512703516</v>
      </c>
      <c r="E9" s="120">
        <v>469422</v>
      </c>
      <c r="F9" s="31">
        <v>485644.60982099484</v>
      </c>
      <c r="G9" s="31">
        <v>516838.97111734626</v>
      </c>
      <c r="H9" s="31">
        <v>426368.50492602919</v>
      </c>
      <c r="I9" s="31">
        <v>550778.90113938204</v>
      </c>
      <c r="J9" s="31">
        <v>515835.24600000004</v>
      </c>
      <c r="K9" s="31">
        <v>575590</v>
      </c>
      <c r="L9" s="64">
        <v>608049</v>
      </c>
      <c r="M9" s="64">
        <v>364616</v>
      </c>
      <c r="N9" s="31">
        <v>696382.6</v>
      </c>
      <c r="O9" s="64">
        <v>704665.375</v>
      </c>
      <c r="P9" s="64">
        <v>750628</v>
      </c>
      <c r="Q9" s="64">
        <v>665371</v>
      </c>
      <c r="R9" s="64">
        <v>657522.02069100412</v>
      </c>
      <c r="S9" s="64">
        <v>707460.23309092491</v>
      </c>
      <c r="T9" s="64">
        <v>704476</v>
      </c>
      <c r="U9" s="64">
        <v>723097.29</v>
      </c>
      <c r="V9" s="64">
        <v>726466.1</v>
      </c>
      <c r="W9" s="31">
        <v>680262.42</v>
      </c>
      <c r="X9" s="32">
        <v>608714</v>
      </c>
    </row>
    <row r="10" spans="1:30">
      <c r="A10" s="9" t="s">
        <v>16</v>
      </c>
      <c r="B10" s="143">
        <f t="shared" si="0"/>
        <v>-0.10489574538793651</v>
      </c>
      <c r="C10" s="135">
        <v>-15240</v>
      </c>
      <c r="D10" s="1">
        <v>6967.6402076276863</v>
      </c>
      <c r="E10" s="120">
        <v>111601</v>
      </c>
      <c r="F10" s="31">
        <v>124679.33140186856</v>
      </c>
      <c r="G10" s="31">
        <v>81828.261518235464</v>
      </c>
      <c r="H10" s="31">
        <v>115994.30256164046</v>
      </c>
      <c r="I10" s="31">
        <v>82662.495965402093</v>
      </c>
      <c r="J10" s="31">
        <v>108946.098</v>
      </c>
      <c r="K10" s="31">
        <v>74984</v>
      </c>
      <c r="L10" s="64">
        <v>101831</v>
      </c>
      <c r="M10" s="64">
        <v>99546</v>
      </c>
      <c r="N10" s="31">
        <v>92276.800000000003</v>
      </c>
      <c r="O10" s="64">
        <v>103776.56</v>
      </c>
      <c r="P10" s="64">
        <v>116590</v>
      </c>
      <c r="Q10" s="64">
        <v>95114</v>
      </c>
      <c r="R10" s="64">
        <v>64573.694036243716</v>
      </c>
      <c r="S10" s="64">
        <v>76861.676607381552</v>
      </c>
      <c r="T10" s="64">
        <v>76358</v>
      </c>
      <c r="U10" s="64">
        <v>77055.37</v>
      </c>
      <c r="V10" s="64">
        <v>70687.100000000006</v>
      </c>
      <c r="W10" s="31">
        <v>61534.895000000004</v>
      </c>
      <c r="X10" s="32">
        <v>59021</v>
      </c>
    </row>
    <row r="11" spans="1:30">
      <c r="A11" s="9" t="s">
        <v>9</v>
      </c>
      <c r="B11" s="143" t="str">
        <f t="shared" si="0"/>
        <v/>
      </c>
      <c r="C11" s="135">
        <v>0</v>
      </c>
      <c r="D11" s="1">
        <v>0</v>
      </c>
      <c r="E11" s="120"/>
      <c r="F11" s="31"/>
      <c r="G11" s="31"/>
      <c r="H11" s="31"/>
      <c r="I11" s="31"/>
      <c r="J11" s="31"/>
      <c r="K11" s="31">
        <v>0</v>
      </c>
      <c r="L11" s="64">
        <v>631</v>
      </c>
      <c r="M11" s="64">
        <v>815</v>
      </c>
      <c r="N11" s="31">
        <v>667</v>
      </c>
      <c r="O11" s="64">
        <v>1442.3</v>
      </c>
      <c r="P11" s="64">
        <v>670</v>
      </c>
      <c r="Q11" s="64">
        <v>2365</v>
      </c>
      <c r="R11" s="64">
        <v>2054.2892597587165</v>
      </c>
      <c r="S11" s="64">
        <v>2087.068936375199</v>
      </c>
      <c r="T11" s="64">
        <v>2990</v>
      </c>
      <c r="U11" s="64">
        <v>3016.9</v>
      </c>
      <c r="V11" s="64">
        <v>3432</v>
      </c>
      <c r="W11" s="31">
        <v>3620.3</v>
      </c>
      <c r="X11" s="32">
        <v>4030</v>
      </c>
    </row>
    <row r="12" spans="1:30">
      <c r="A12" s="9" t="s">
        <v>25</v>
      </c>
      <c r="B12" s="143">
        <f t="shared" si="0"/>
        <v>0.24711513804598673</v>
      </c>
      <c r="C12" s="135">
        <v>-151</v>
      </c>
      <c r="D12" s="1">
        <v>-92.099999999999909</v>
      </c>
      <c r="E12" s="120">
        <v>1459</v>
      </c>
      <c r="F12" s="31">
        <v>1169.9000000000001</v>
      </c>
      <c r="G12" s="31">
        <v>1421</v>
      </c>
      <c r="H12" s="31">
        <v>1940.15</v>
      </c>
      <c r="I12" s="31">
        <v>3622.7000000000003</v>
      </c>
      <c r="J12" s="31">
        <v>2129.9</v>
      </c>
      <c r="K12" s="31">
        <v>4284</v>
      </c>
      <c r="L12" s="64">
        <v>4800</v>
      </c>
      <c r="M12" s="64">
        <v>3328</v>
      </c>
      <c r="N12" s="31">
        <v>4565.8</v>
      </c>
      <c r="O12" s="64">
        <v>8203</v>
      </c>
      <c r="P12" s="64">
        <v>8225</v>
      </c>
      <c r="Q12" s="64">
        <v>10776</v>
      </c>
      <c r="R12" s="64">
        <v>7852.0392213824371</v>
      </c>
      <c r="S12" s="64">
        <v>12774.024714807474</v>
      </c>
      <c r="T12" s="64">
        <v>12150</v>
      </c>
      <c r="U12" s="64">
        <v>18229</v>
      </c>
      <c r="V12" s="64">
        <v>18980</v>
      </c>
      <c r="W12" s="31">
        <v>21979.200000000001</v>
      </c>
      <c r="X12" s="32">
        <v>21795</v>
      </c>
    </row>
    <row r="13" spans="1:30">
      <c r="A13" s="9" t="s">
        <v>48</v>
      </c>
      <c r="B13" s="143" t="str">
        <f t="shared" si="0"/>
        <v/>
      </c>
      <c r="C13" s="135">
        <v>0</v>
      </c>
      <c r="D13" s="1">
        <v>0</v>
      </c>
      <c r="E13" s="120"/>
      <c r="F13" s="31"/>
      <c r="G13" s="31"/>
      <c r="H13" s="31"/>
      <c r="I13" s="31"/>
      <c r="J13" s="31"/>
      <c r="K13" s="31">
        <v>0</v>
      </c>
      <c r="L13" s="64">
        <v>0</v>
      </c>
      <c r="M13" s="64">
        <v>0</v>
      </c>
      <c r="N13" s="31">
        <v>0</v>
      </c>
      <c r="O13" s="64">
        <v>7</v>
      </c>
      <c r="P13" s="64">
        <v>8</v>
      </c>
      <c r="Q13" s="64">
        <v>0</v>
      </c>
      <c r="R13" s="64">
        <v>1.0030709276165608</v>
      </c>
      <c r="S13" s="64">
        <v>7.0170425334420718</v>
      </c>
      <c r="T13" s="64">
        <v>1</v>
      </c>
      <c r="U13" s="64">
        <v>4.62</v>
      </c>
      <c r="V13" s="64">
        <v>10</v>
      </c>
      <c r="W13" s="31">
        <v>32</v>
      </c>
      <c r="X13" s="32">
        <v>87</v>
      </c>
    </row>
    <row r="14" spans="1:30">
      <c r="A14" s="9" t="s">
        <v>123</v>
      </c>
      <c r="B14" s="143">
        <f t="shared" si="0"/>
        <v>0.16495575757434922</v>
      </c>
      <c r="C14" s="135">
        <v>-4744</v>
      </c>
      <c r="D14" s="1">
        <v>-3344.7076637052996</v>
      </c>
      <c r="E14" s="120">
        <v>17975</v>
      </c>
      <c r="F14" s="31">
        <v>15429.770515429045</v>
      </c>
      <c r="G14" s="31">
        <v>14506.852021060015</v>
      </c>
      <c r="H14" s="31">
        <v>15639.734384752546</v>
      </c>
      <c r="I14" s="31">
        <v>16497.456237868468</v>
      </c>
      <c r="J14" s="31">
        <v>20586.154000000002</v>
      </c>
      <c r="K14" s="31">
        <v>22074</v>
      </c>
      <c r="L14" s="64">
        <v>23355</v>
      </c>
      <c r="M14" s="64">
        <v>18463</v>
      </c>
      <c r="N14" s="31">
        <v>23139.200000000001</v>
      </c>
      <c r="O14" s="64">
        <v>25805.7</v>
      </c>
      <c r="P14" s="64">
        <v>31824</v>
      </c>
      <c r="Q14" s="64">
        <v>25616</v>
      </c>
      <c r="R14" s="64">
        <v>26016.650649590734</v>
      </c>
      <c r="S14" s="64">
        <v>17180.727425809095</v>
      </c>
      <c r="T14" s="64">
        <v>46392</v>
      </c>
      <c r="U14" s="64">
        <v>35343.760000000002</v>
      </c>
      <c r="V14" s="64">
        <v>51007.3</v>
      </c>
      <c r="W14" s="31">
        <v>46673.095000000001</v>
      </c>
      <c r="X14" s="32">
        <v>35281</v>
      </c>
    </row>
    <row r="15" spans="1:30">
      <c r="A15" s="9" t="s">
        <v>12</v>
      </c>
      <c r="B15" s="143">
        <f t="shared" si="0"/>
        <v>1.5479725119809081E-2</v>
      </c>
      <c r="C15" s="135">
        <v>-1247</v>
      </c>
      <c r="D15" s="1">
        <v>-947.60700000000361</v>
      </c>
      <c r="E15" s="120">
        <v>39798</v>
      </c>
      <c r="F15" s="31">
        <v>39191.328999999998</v>
      </c>
      <c r="G15" s="31">
        <v>37382.300000000003</v>
      </c>
      <c r="H15" s="31">
        <v>37015.669000000002</v>
      </c>
      <c r="I15" s="31">
        <v>37217.5</v>
      </c>
      <c r="J15" s="31">
        <v>38168</v>
      </c>
      <c r="K15" s="31">
        <v>32404</v>
      </c>
      <c r="L15" s="64">
        <v>28005</v>
      </c>
      <c r="M15" s="64"/>
      <c r="N15" s="31"/>
      <c r="O15" s="64"/>
      <c r="P15" s="64"/>
      <c r="Q15" s="64"/>
      <c r="R15" s="64"/>
      <c r="S15" s="64"/>
      <c r="T15" s="64"/>
      <c r="U15" s="64"/>
      <c r="V15" s="64"/>
      <c r="W15" s="31"/>
      <c r="X15" s="32"/>
    </row>
    <row r="16" spans="1:30">
      <c r="A16" s="9" t="s">
        <v>18</v>
      </c>
      <c r="B16" s="143">
        <f t="shared" si="0"/>
        <v>-0.25236972651507761</v>
      </c>
      <c r="C16" s="135">
        <v>-24887</v>
      </c>
      <c r="D16" s="1">
        <v>-18937.37470344099</v>
      </c>
      <c r="E16" s="120">
        <v>99368</v>
      </c>
      <c r="F16" s="31">
        <v>132910.61574702803</v>
      </c>
      <c r="G16" s="31">
        <v>102224.18399911653</v>
      </c>
      <c r="H16" s="31">
        <v>151718.50054062399</v>
      </c>
      <c r="I16" s="31">
        <v>130037.61899160707</v>
      </c>
      <c r="J16" s="31">
        <v>165623.70200000002</v>
      </c>
      <c r="K16" s="31">
        <v>150707</v>
      </c>
      <c r="L16" s="64">
        <v>188267</v>
      </c>
      <c r="M16" s="64">
        <v>117439</v>
      </c>
      <c r="N16" s="31">
        <v>171434.1</v>
      </c>
      <c r="O16" s="64">
        <v>175647.33000000002</v>
      </c>
      <c r="P16" s="64">
        <v>174233</v>
      </c>
      <c r="Q16" s="64">
        <v>156991</v>
      </c>
      <c r="R16" s="64">
        <v>120464.80612303848</v>
      </c>
      <c r="S16" s="64">
        <v>152763.02082232918</v>
      </c>
      <c r="T16" s="64">
        <v>165519</v>
      </c>
      <c r="U16" s="64">
        <v>172472.8</v>
      </c>
      <c r="V16" s="64">
        <v>145910.02499999999</v>
      </c>
      <c r="W16" s="31">
        <v>137632.77499999999</v>
      </c>
      <c r="X16" s="32">
        <v>154828</v>
      </c>
    </row>
    <row r="17" spans="1:27">
      <c r="A17" s="9" t="s">
        <v>141</v>
      </c>
      <c r="B17" s="143">
        <f t="shared" si="0"/>
        <v>-7.176478017780942E-2</v>
      </c>
      <c r="C17" s="135">
        <v>-2209</v>
      </c>
      <c r="D17" s="1">
        <v>-1920.3279999999977</v>
      </c>
      <c r="E17" s="120">
        <v>20387</v>
      </c>
      <c r="F17" s="31">
        <v>21963.183000000001</v>
      </c>
      <c r="G17" s="31">
        <v>13138.417000000001</v>
      </c>
      <c r="H17" s="31">
        <v>23472.092000000001</v>
      </c>
      <c r="I17" s="31">
        <v>16067.143999999998</v>
      </c>
      <c r="J17" s="31">
        <v>25733.749</v>
      </c>
      <c r="K17" s="31">
        <v>15426</v>
      </c>
      <c r="L17" s="64">
        <v>25909</v>
      </c>
      <c r="M17" s="64">
        <v>4722</v>
      </c>
      <c r="N17" s="31">
        <v>21797.199999999997</v>
      </c>
      <c r="O17" s="64">
        <v>20580.2</v>
      </c>
      <c r="P17" s="64">
        <v>23273</v>
      </c>
      <c r="Q17" s="64">
        <v>39855</v>
      </c>
      <c r="R17" s="64"/>
      <c r="S17" s="64">
        <v>17213.807769181036</v>
      </c>
      <c r="T17" s="64">
        <v>18316</v>
      </c>
      <c r="U17" s="64">
        <v>15432</v>
      </c>
      <c r="V17" s="64">
        <v>13671</v>
      </c>
      <c r="W17" s="31">
        <v>16113</v>
      </c>
      <c r="X17" s="32">
        <v>8531</v>
      </c>
    </row>
    <row r="18" spans="1:27">
      <c r="A18" s="9" t="s">
        <v>19</v>
      </c>
      <c r="B18" s="143" t="str">
        <f t="shared" si="0"/>
        <v/>
      </c>
      <c r="C18" s="135">
        <v>0</v>
      </c>
      <c r="D18" s="1">
        <v>0</v>
      </c>
      <c r="E18" s="120"/>
      <c r="F18" s="31"/>
      <c r="G18" s="31"/>
      <c r="H18" s="31"/>
      <c r="I18" s="31"/>
      <c r="J18" s="31"/>
      <c r="K18" s="31">
        <v>0</v>
      </c>
      <c r="L18" s="64">
        <v>4177</v>
      </c>
      <c r="M18" s="64">
        <v>4407</v>
      </c>
      <c r="N18" s="31">
        <v>8865.6</v>
      </c>
      <c r="O18" s="64">
        <v>8597.4</v>
      </c>
      <c r="P18" s="64">
        <v>10762</v>
      </c>
      <c r="Q18" s="64">
        <v>7130</v>
      </c>
      <c r="R18" s="64">
        <v>3342.2323308183804</v>
      </c>
      <c r="S18" s="64">
        <v>8859.517415794433</v>
      </c>
      <c r="T18" s="64">
        <v>8884</v>
      </c>
      <c r="U18" s="64">
        <v>5689.08</v>
      </c>
      <c r="V18" s="64">
        <v>7379.2</v>
      </c>
      <c r="W18" s="31">
        <v>5219.8</v>
      </c>
      <c r="X18" s="32">
        <v>10514</v>
      </c>
    </row>
    <row r="19" spans="1:27" ht="13.8" thickBot="1">
      <c r="A19" s="116" t="s">
        <v>57</v>
      </c>
      <c r="B19" s="143">
        <f t="shared" si="0"/>
        <v>0.16146219640539028</v>
      </c>
      <c r="C19" s="145">
        <v>6553</v>
      </c>
      <c r="D19" s="7">
        <v>7925.2607020419964</v>
      </c>
      <c r="E19" s="121">
        <f>40218+258016</f>
        <v>298234</v>
      </c>
      <c r="F19" s="35">
        <f>217954+38820.607837435</f>
        <v>256774.607837435</v>
      </c>
      <c r="G19" s="35">
        <v>219352.01374078059</v>
      </c>
      <c r="H19" s="35">
        <v>164043.8417120685</v>
      </c>
      <c r="I19" s="35">
        <v>121184.55680474744</v>
      </c>
      <c r="J19" s="35">
        <v>90353</v>
      </c>
      <c r="K19" s="35">
        <f>17747+63119</f>
        <v>80866</v>
      </c>
      <c r="L19" s="65">
        <v>80420</v>
      </c>
      <c r="M19" s="65">
        <v>55371</v>
      </c>
      <c r="N19" s="35">
        <v>71355.3</v>
      </c>
      <c r="O19" s="65">
        <v>55375.9</v>
      </c>
      <c r="P19" s="65">
        <v>60736</v>
      </c>
      <c r="Q19" s="65">
        <v>54685</v>
      </c>
      <c r="R19" s="65">
        <v>30875.526222965356</v>
      </c>
      <c r="S19" s="65">
        <v>35583.422687084749</v>
      </c>
      <c r="T19" s="65">
        <v>28610</v>
      </c>
      <c r="U19" s="65">
        <v>97156.56</v>
      </c>
      <c r="V19" s="65">
        <v>70629.5</v>
      </c>
      <c r="W19" s="35">
        <v>44555.729999999996</v>
      </c>
      <c r="X19" s="36">
        <v>53273</v>
      </c>
    </row>
    <row r="20" spans="1:27" ht="13.8" thickBot="1">
      <c r="A20" s="19" t="s">
        <v>21</v>
      </c>
      <c r="B20" s="94">
        <f t="shared" si="0"/>
        <v>1.8021102069355057E-2</v>
      </c>
      <c r="C20" s="146">
        <v>-134114</v>
      </c>
      <c r="D20" s="21">
        <v>-92584.960192935774</v>
      </c>
      <c r="E20" s="122">
        <f t="shared" ref="E20" si="1">SUM(E2:E19)</f>
        <v>1527078</v>
      </c>
      <c r="F20" s="50">
        <f t="shared" ref="F20" si="2">SUM(F2:F19)</f>
        <v>1500045.5264590029</v>
      </c>
      <c r="G20" s="50">
        <f t="shared" ref="G20:K20" si="3">SUM(G2:G19)</f>
        <v>1380125.7278411819</v>
      </c>
      <c r="H20" s="50">
        <f t="shared" si="3"/>
        <v>1326182.1164328633</v>
      </c>
      <c r="I20" s="50">
        <f t="shared" si="3"/>
        <v>1357556.4518311606</v>
      </c>
      <c r="J20" s="50">
        <f t="shared" si="3"/>
        <v>1364134.9950000001</v>
      </c>
      <c r="K20" s="50">
        <f t="shared" si="3"/>
        <v>1349020</v>
      </c>
      <c r="L20" s="50">
        <v>1491242</v>
      </c>
      <c r="M20" s="50">
        <v>1007499</v>
      </c>
      <c r="N20" s="50">
        <f>SUM(N2:N19)</f>
        <v>1487735.7000000002</v>
      </c>
      <c r="O20" s="50">
        <f>SUM(O2:O19)</f>
        <v>1494682.91</v>
      </c>
      <c r="P20" s="50">
        <f>SUM(P2:P19)</f>
        <v>1601128</v>
      </c>
      <c r="Q20" s="50">
        <f>SUM(Q2:Q19)</f>
        <v>1407093</v>
      </c>
      <c r="R20" s="50">
        <f>SUM(R2:R19)</f>
        <v>1215407</v>
      </c>
      <c r="S20" s="50">
        <f t="shared" ref="S20:X20" si="4">SUM(S2:S19)</f>
        <v>1423375</v>
      </c>
      <c r="T20" s="50">
        <f t="shared" si="4"/>
        <v>1442097</v>
      </c>
      <c r="U20" s="50">
        <f t="shared" si="4"/>
        <v>1453791.7800000003</v>
      </c>
      <c r="V20" s="50">
        <f t="shared" si="4"/>
        <v>1399479.5249999999</v>
      </c>
      <c r="W20" s="50">
        <f t="shared" si="4"/>
        <v>1298109.0249999999</v>
      </c>
      <c r="X20" s="51">
        <f t="shared" si="4"/>
        <v>1197785</v>
      </c>
    </row>
    <row r="21" spans="1:27">
      <c r="B21" s="22"/>
      <c r="C21" s="22"/>
      <c r="D21" s="22"/>
      <c r="E21" s="22"/>
      <c r="F21" s="52"/>
      <c r="G21" s="52"/>
      <c r="H21" s="52"/>
      <c r="I21" s="52"/>
      <c r="J21" s="52"/>
      <c r="K21" s="52"/>
      <c r="N21" s="52"/>
    </row>
    <row r="22" spans="1:27" ht="13.8" thickBot="1">
      <c r="B22" s="22"/>
      <c r="C22" s="22"/>
      <c r="D22" s="22"/>
      <c r="E22" s="22"/>
      <c r="F22" s="52"/>
      <c r="G22" s="52"/>
      <c r="H22" s="52"/>
      <c r="I22" s="52"/>
      <c r="J22" s="52"/>
      <c r="K22" s="52"/>
      <c r="N22" s="52"/>
    </row>
    <row r="23" spans="1:27" ht="13.8" thickBot="1">
      <c r="A23" s="11" t="s">
        <v>23</v>
      </c>
      <c r="B23" s="12" t="s">
        <v>169</v>
      </c>
      <c r="C23" s="132" t="s">
        <v>170</v>
      </c>
      <c r="D23" s="133" t="s">
        <v>168</v>
      </c>
      <c r="E23" s="134">
        <v>45992</v>
      </c>
      <c r="F23" s="13">
        <v>45627</v>
      </c>
      <c r="G23" s="13">
        <v>45261</v>
      </c>
      <c r="H23" s="13">
        <v>44896</v>
      </c>
      <c r="I23" s="13">
        <v>44531</v>
      </c>
      <c r="J23" s="13">
        <v>44166</v>
      </c>
      <c r="K23" s="13">
        <v>43800</v>
      </c>
      <c r="L23" s="28">
        <v>43435</v>
      </c>
      <c r="M23" s="28">
        <v>43070</v>
      </c>
      <c r="N23" s="13">
        <v>42705</v>
      </c>
      <c r="O23" s="28">
        <f>O1</f>
        <v>42339</v>
      </c>
      <c r="P23" s="28">
        <f>P1</f>
        <v>41974</v>
      </c>
      <c r="Q23" s="28">
        <v>41609</v>
      </c>
      <c r="R23" s="28">
        <v>41244</v>
      </c>
      <c r="S23" s="28">
        <v>40878</v>
      </c>
      <c r="T23" s="28">
        <v>40513</v>
      </c>
      <c r="U23" s="28">
        <v>40148</v>
      </c>
      <c r="V23" s="28">
        <v>39783</v>
      </c>
      <c r="W23" s="28">
        <v>39417</v>
      </c>
      <c r="X23" s="44">
        <v>39052</v>
      </c>
    </row>
    <row r="24" spans="1:27">
      <c r="A24" s="9" t="s">
        <v>98</v>
      </c>
      <c r="B24" s="15">
        <f t="shared" ref="B24:B29" si="5">IFERROR(((E24-F24)/F24),"")</f>
        <v>-0.33400842439803224</v>
      </c>
      <c r="C24" s="135">
        <v>-8924.1637177166631</v>
      </c>
      <c r="D24" s="1">
        <v>-13451.845178443189</v>
      </c>
      <c r="E24" s="120">
        <v>36437.536123971433</v>
      </c>
      <c r="F24" s="31">
        <v>54711.707263018681</v>
      </c>
      <c r="G24" s="31">
        <v>13541.382354378689</v>
      </c>
      <c r="H24" s="31">
        <v>82474.054799916616</v>
      </c>
      <c r="I24" s="31">
        <v>18506.814974007775</v>
      </c>
      <c r="J24" s="31">
        <v>123603.95069820629</v>
      </c>
      <c r="K24" s="31">
        <v>57060.605919378584</v>
      </c>
      <c r="L24" s="31">
        <v>156648.07633423616</v>
      </c>
      <c r="M24" s="31">
        <v>188252</v>
      </c>
      <c r="N24" s="31">
        <v>160810.63274927204</v>
      </c>
      <c r="O24" s="31">
        <v>190239.85244829967</v>
      </c>
      <c r="P24" s="31">
        <v>195211.58559709601</v>
      </c>
      <c r="Q24" s="31">
        <v>220635.27677052101</v>
      </c>
      <c r="R24" s="31">
        <v>152771</v>
      </c>
      <c r="S24" s="31">
        <v>263695</v>
      </c>
      <c r="T24" s="31">
        <v>102895</v>
      </c>
      <c r="U24" s="31">
        <v>137083</v>
      </c>
      <c r="V24" s="31">
        <v>119837</v>
      </c>
      <c r="W24" s="31">
        <v>130556</v>
      </c>
      <c r="X24" s="32">
        <v>156944</v>
      </c>
    </row>
    <row r="25" spans="1:27">
      <c r="A25" s="9" t="s">
        <v>6</v>
      </c>
      <c r="B25" s="15">
        <f t="shared" si="5"/>
        <v>-0.3138582923785434</v>
      </c>
      <c r="C25" s="135">
        <v>-30.038360267550161</v>
      </c>
      <c r="D25" s="1">
        <v>-1158.4563766927076</v>
      </c>
      <c r="E25" s="120">
        <v>6917.6001686019599</v>
      </c>
      <c r="F25" s="31">
        <v>10081.882637017003</v>
      </c>
      <c r="G25" s="31">
        <v>4859.4519361989096</v>
      </c>
      <c r="H25" s="31">
        <v>13381.130212610051</v>
      </c>
      <c r="I25" s="31">
        <v>8068.6154188900155</v>
      </c>
      <c r="J25" s="31">
        <v>23629.963095953943</v>
      </c>
      <c r="K25" s="31">
        <v>11603.439199708177</v>
      </c>
      <c r="L25" s="31">
        <v>31351.567449123257</v>
      </c>
      <c r="M25" s="31">
        <v>34980</v>
      </c>
      <c r="N25" s="31">
        <v>37568</v>
      </c>
      <c r="O25" s="31">
        <v>43074</v>
      </c>
      <c r="P25" s="31">
        <v>47439.1616980771</v>
      </c>
      <c r="Q25" s="31">
        <v>53942</v>
      </c>
      <c r="R25" s="31">
        <v>54049</v>
      </c>
      <c r="S25" s="31">
        <v>88092</v>
      </c>
      <c r="T25" s="31">
        <v>50684</v>
      </c>
      <c r="U25" s="31">
        <v>72113</v>
      </c>
      <c r="V25" s="31">
        <v>62683</v>
      </c>
      <c r="W25" s="31">
        <v>70702</v>
      </c>
      <c r="X25" s="32">
        <v>71184</v>
      </c>
    </row>
    <row r="26" spans="1:27">
      <c r="A26" s="9" t="s">
        <v>124</v>
      </c>
      <c r="B26" s="15">
        <f t="shared" si="5"/>
        <v>-0.63411219793903473</v>
      </c>
      <c r="C26" s="135">
        <v>-107.53594942198652</v>
      </c>
      <c r="D26" s="1">
        <v>-519.45394432762487</v>
      </c>
      <c r="E26" s="120">
        <v>1323.5866842671996</v>
      </c>
      <c r="F26" s="31">
        <v>3617.4660013581438</v>
      </c>
      <c r="G26" s="31">
        <v>700</v>
      </c>
      <c r="H26" s="31">
        <v>5155.0627710137096</v>
      </c>
      <c r="I26" s="31">
        <v>2922.2508248513645</v>
      </c>
      <c r="J26" s="31">
        <v>6945.5854656078318</v>
      </c>
      <c r="K26" s="31">
        <v>4058.5424846245978</v>
      </c>
      <c r="L26" s="31"/>
      <c r="M26" s="31">
        <v>8708</v>
      </c>
      <c r="N26" s="31">
        <v>7450.2657559052068</v>
      </c>
      <c r="O26" s="31">
        <v>11730.194743571272</v>
      </c>
      <c r="P26" s="31">
        <v>12187.154609017</v>
      </c>
      <c r="Q26" s="31">
        <v>18920.082102014199</v>
      </c>
      <c r="R26" s="31">
        <v>13590</v>
      </c>
      <c r="S26" s="31">
        <v>22869</v>
      </c>
      <c r="T26" s="31">
        <v>20466</v>
      </c>
      <c r="U26" s="31">
        <v>23063</v>
      </c>
      <c r="V26" s="31">
        <v>18319</v>
      </c>
      <c r="W26" s="31">
        <v>21142</v>
      </c>
      <c r="X26" s="32">
        <v>33157</v>
      </c>
      <c r="AA26" s="25"/>
    </row>
    <row r="27" spans="1:27">
      <c r="A27" s="9" t="s">
        <v>28</v>
      </c>
      <c r="B27" s="15">
        <f t="shared" si="5"/>
        <v>-0.24574422589636871</v>
      </c>
      <c r="C27" s="135">
        <v>-1479.036662153434</v>
      </c>
      <c r="D27" s="1">
        <v>-3234.6253611160464</v>
      </c>
      <c r="E27" s="120">
        <v>7589.9991789854339</v>
      </c>
      <c r="F27" s="31">
        <v>10062.898342416405</v>
      </c>
      <c r="G27" s="31">
        <v>3944.2415699282237</v>
      </c>
      <c r="H27" s="31">
        <v>15018.949322369213</v>
      </c>
      <c r="I27" s="31">
        <v>5142.4802740449477</v>
      </c>
      <c r="J27" s="31">
        <v>25656.289950113969</v>
      </c>
      <c r="K27" s="31">
        <v>8438.3165861742236</v>
      </c>
      <c r="L27" s="31">
        <v>24119.809259286663</v>
      </c>
      <c r="M27" s="31">
        <v>25577</v>
      </c>
      <c r="N27" s="31">
        <v>21392</v>
      </c>
      <c r="O27" s="31">
        <v>30103</v>
      </c>
      <c r="P27" s="31">
        <v>23589.152289198999</v>
      </c>
      <c r="Q27" s="31">
        <v>39673.985172242901</v>
      </c>
      <c r="R27" s="31">
        <v>24182</v>
      </c>
      <c r="S27" s="31">
        <v>41960</v>
      </c>
      <c r="T27" s="31">
        <v>21370</v>
      </c>
      <c r="U27" s="31">
        <v>38019</v>
      </c>
      <c r="V27" s="31">
        <v>17509</v>
      </c>
      <c r="W27" s="31">
        <v>35267</v>
      </c>
      <c r="X27" s="32"/>
    </row>
    <row r="28" spans="1:27" ht="13.8" thickBot="1">
      <c r="A28" s="18" t="s">
        <v>57</v>
      </c>
      <c r="B28" s="16">
        <f t="shared" si="5"/>
        <v>-0.12966061626657302</v>
      </c>
      <c r="C28" s="145">
        <v>-10159.681766399917</v>
      </c>
      <c r="D28" s="7">
        <v>-13787.853728978167</v>
      </c>
      <c r="E28" s="121">
        <v>36307.3345420962</v>
      </c>
      <c r="F28" s="31">
        <v>41716.295069115979</v>
      </c>
      <c r="G28" s="31">
        <v>9400</v>
      </c>
      <c r="H28" s="31">
        <v>50440.525047114061</v>
      </c>
      <c r="I28" s="31">
        <v>20808.464983831465</v>
      </c>
      <c r="J28" s="31">
        <v>41101.111076315108</v>
      </c>
      <c r="K28" s="31">
        <v>27330.830217237191</v>
      </c>
      <c r="L28" s="31">
        <v>35910.500963122453</v>
      </c>
      <c r="M28" s="31">
        <v>28481</v>
      </c>
      <c r="N28" s="35">
        <v>27099.445297777282</v>
      </c>
      <c r="O28" s="35">
        <v>41395.140415975882</v>
      </c>
      <c r="P28" s="35">
        <v>35516.251494857366</v>
      </c>
      <c r="Q28" s="35">
        <v>68374.445212805906</v>
      </c>
      <c r="R28" s="35">
        <v>40624</v>
      </c>
      <c r="S28" s="35">
        <v>54938</v>
      </c>
      <c r="T28" s="35">
        <v>21553</v>
      </c>
      <c r="U28" s="35">
        <v>26972</v>
      </c>
      <c r="V28" s="35">
        <v>19056</v>
      </c>
      <c r="W28" s="35">
        <v>21159</v>
      </c>
      <c r="X28" s="36">
        <v>55032</v>
      </c>
    </row>
    <row r="29" spans="1:27" s="45" customFormat="1" ht="13.8" thickBot="1">
      <c r="A29" s="19" t="s">
        <v>21</v>
      </c>
      <c r="B29" s="20">
        <f t="shared" si="5"/>
        <v>-0.26303458721259143</v>
      </c>
      <c r="C29" s="146">
        <v>-20700.456455959546</v>
      </c>
      <c r="D29" s="21">
        <v>-32152.234589557731</v>
      </c>
      <c r="E29" s="122">
        <f>SUM(E24:E28)</f>
        <v>88576.05669792222</v>
      </c>
      <c r="F29" s="39">
        <f t="shared" ref="F29" si="6">SUM(F24:F28)</f>
        <v>120190.24931292621</v>
      </c>
      <c r="G29" s="39">
        <f t="shared" ref="G29:K29" si="7">SUM(G24:G28)</f>
        <v>32445.075860505825</v>
      </c>
      <c r="H29" s="39">
        <f t="shared" si="7"/>
        <v>166469.72215302364</v>
      </c>
      <c r="I29" s="39">
        <f t="shared" si="7"/>
        <v>55448.62647562557</v>
      </c>
      <c r="J29" s="39">
        <f t="shared" si="7"/>
        <v>220936.90028619717</v>
      </c>
      <c r="K29" s="39">
        <f t="shared" si="7"/>
        <v>108491.73440712279</v>
      </c>
      <c r="L29" s="39">
        <v>255781.3965072959</v>
      </c>
      <c r="M29" s="39">
        <v>285998</v>
      </c>
      <c r="N29" s="50">
        <f>SUM(N24:N28)</f>
        <v>254320.34380295454</v>
      </c>
      <c r="O29" s="50">
        <f>SUM(O24:O28)</f>
        <v>316542.18760784686</v>
      </c>
      <c r="P29" s="50">
        <f>SUM(P24:P28)</f>
        <v>313943.30568824644</v>
      </c>
      <c r="Q29" s="50">
        <f>SUM(Q24:Q28)</f>
        <v>401545.78925758402</v>
      </c>
      <c r="R29" s="50">
        <f t="shared" ref="R29:X29" si="8">SUM(R24:R28)</f>
        <v>285216</v>
      </c>
      <c r="S29" s="50">
        <f t="shared" si="8"/>
        <v>471554</v>
      </c>
      <c r="T29" s="50">
        <f t="shared" si="8"/>
        <v>216968</v>
      </c>
      <c r="U29" s="50">
        <f t="shared" si="8"/>
        <v>297250</v>
      </c>
      <c r="V29" s="50">
        <f t="shared" si="8"/>
        <v>237404</v>
      </c>
      <c r="W29" s="50">
        <f t="shared" si="8"/>
        <v>278826</v>
      </c>
      <c r="X29" s="51">
        <f t="shared" si="8"/>
        <v>316317</v>
      </c>
    </row>
    <row r="30" spans="1:27">
      <c r="B30" s="26" t="s">
        <v>164</v>
      </c>
    </row>
    <row r="36" spans="23:25" ht="17.399999999999999">
      <c r="W36" s="66"/>
      <c r="X36" s="31"/>
      <c r="Y36" s="31"/>
    </row>
    <row r="37" spans="23:25" ht="17.399999999999999">
      <c r="W37" s="66"/>
      <c r="X37" s="31"/>
      <c r="Y37" s="31"/>
    </row>
    <row r="38" spans="23:25" ht="17.399999999999999">
      <c r="W38" s="66"/>
      <c r="X38" s="31"/>
      <c r="Y38" s="31"/>
    </row>
    <row r="39" spans="23:25" ht="17.399999999999999">
      <c r="W39" s="66"/>
      <c r="X39" s="31"/>
      <c r="Y39" s="31"/>
    </row>
    <row r="40" spans="23:25" ht="17.399999999999999">
      <c r="W40" s="66"/>
      <c r="X40" s="31"/>
      <c r="Y40" s="31"/>
    </row>
    <row r="41" spans="23:25" ht="17.399999999999999">
      <c r="W41" s="66"/>
      <c r="X41" s="31"/>
      <c r="Y41" s="31"/>
    </row>
    <row r="42" spans="23:25" ht="17.399999999999999">
      <c r="W42" s="66"/>
      <c r="X42" s="31"/>
      <c r="Y42" s="31"/>
    </row>
    <row r="43" spans="23:25" ht="17.399999999999999">
      <c r="W43" s="66"/>
      <c r="X43" s="31"/>
      <c r="Y43" s="31"/>
    </row>
    <row r="44" spans="23:25" ht="17.399999999999999">
      <c r="W44" s="66"/>
      <c r="X44" s="31"/>
      <c r="Y44" s="31"/>
    </row>
    <row r="45" spans="23:25" ht="17.399999999999999">
      <c r="W45" s="66"/>
      <c r="X45" s="31"/>
      <c r="Y45" s="31"/>
    </row>
    <row r="46" spans="23:25" ht="17.399999999999999">
      <c r="W46" s="67"/>
      <c r="X46" s="31"/>
      <c r="Y46" s="31"/>
    </row>
    <row r="47" spans="23:25" ht="18">
      <c r="W47" s="68"/>
      <c r="X47" s="60"/>
      <c r="Y47" s="60"/>
    </row>
  </sheetData>
  <conditionalFormatting sqref="E1">
    <cfRule type="expression" dxfId="13" priority="2">
      <formula>ISBLANK(XFD1)=FALSE</formula>
    </cfRule>
  </conditionalFormatting>
  <conditionalFormatting sqref="E23">
    <cfRule type="expression" dxfId="12" priority="1">
      <formula>ISBLANK(XFD23)=FALSE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6640625" defaultRowHeight="13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43"/>
  <sheetViews>
    <sheetView workbookViewId="0"/>
  </sheetViews>
  <sheetFormatPr defaultColWidth="9.109375" defaultRowHeight="13.2"/>
  <cols>
    <col min="1" max="1" width="19.6640625" customWidth="1"/>
    <col min="2" max="2" width="10.6640625" customWidth="1"/>
    <col min="3" max="3" width="11.6640625" hidden="1" customWidth="1"/>
    <col min="4" max="4" width="11.33203125" hidden="1" customWidth="1"/>
    <col min="5" max="5" width="11.33203125" customWidth="1"/>
    <col min="6" max="11" width="11.44140625" style="26" customWidth="1"/>
    <col min="12" max="12" width="11.44140625" style="26" bestFit="1" customWidth="1"/>
    <col min="13" max="13" width="11.44140625" style="26" customWidth="1"/>
    <col min="14" max="24" width="10.109375" style="26" bestFit="1" customWidth="1"/>
    <col min="25" max="16384" width="9.109375" style="26"/>
  </cols>
  <sheetData>
    <row r="1" spans="1:24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28">
        <v>39783</v>
      </c>
      <c r="W1" s="28">
        <v>39417</v>
      </c>
      <c r="X1" s="44">
        <v>39052</v>
      </c>
    </row>
    <row r="2" spans="1:24">
      <c r="A2" s="80" t="s">
        <v>3</v>
      </c>
      <c r="B2" s="143" t="str">
        <f t="shared" ref="B2:B18" si="0">IFERROR(((E2-F2)/F2),"")</f>
        <v/>
      </c>
      <c r="C2" s="135">
        <v>0</v>
      </c>
      <c r="D2" s="1">
        <v>0</v>
      </c>
      <c r="E2" s="12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>
        <v>5000</v>
      </c>
      <c r="V2" s="31">
        <v>5000</v>
      </c>
      <c r="W2" s="31">
        <v>0</v>
      </c>
      <c r="X2" s="32">
        <v>0</v>
      </c>
    </row>
    <row r="3" spans="1:24">
      <c r="A3" s="80" t="s">
        <v>31</v>
      </c>
      <c r="B3" s="143" t="str">
        <f t="shared" si="0"/>
        <v/>
      </c>
      <c r="C3" s="135">
        <v>0</v>
      </c>
      <c r="D3" s="1">
        <v>0</v>
      </c>
      <c r="E3" s="120"/>
      <c r="F3" s="31"/>
      <c r="G3" s="31"/>
      <c r="H3" s="31"/>
      <c r="I3" s="31"/>
      <c r="J3" s="31"/>
      <c r="K3" s="31"/>
      <c r="L3" s="31"/>
      <c r="M3" s="31"/>
      <c r="N3" s="1"/>
      <c r="O3" s="31">
        <v>0</v>
      </c>
      <c r="P3" s="31">
        <v>2000</v>
      </c>
      <c r="Q3" s="31">
        <v>3000</v>
      </c>
      <c r="R3" s="31">
        <v>7000</v>
      </c>
      <c r="S3" s="31">
        <v>6000</v>
      </c>
      <c r="T3" s="31">
        <v>15000</v>
      </c>
      <c r="U3" s="31">
        <v>30000</v>
      </c>
      <c r="V3" s="31">
        <v>30000</v>
      </c>
      <c r="W3" s="31">
        <v>12000</v>
      </c>
      <c r="X3" s="32">
        <v>25000</v>
      </c>
    </row>
    <row r="4" spans="1:24">
      <c r="A4" s="9" t="s">
        <v>1</v>
      </c>
      <c r="B4" s="143" t="str">
        <f t="shared" si="0"/>
        <v/>
      </c>
      <c r="C4" s="135">
        <v>0</v>
      </c>
      <c r="D4" s="1">
        <v>0</v>
      </c>
      <c r="E4" s="120"/>
      <c r="F4" s="31"/>
      <c r="G4" s="31"/>
      <c r="H4" s="31"/>
      <c r="I4" s="31"/>
      <c r="J4" s="31"/>
      <c r="K4" s="31"/>
      <c r="L4" s="31"/>
      <c r="M4" s="31"/>
      <c r="N4" s="1">
        <v>0</v>
      </c>
      <c r="O4" s="31">
        <v>1000</v>
      </c>
      <c r="P4" s="31">
        <v>1000</v>
      </c>
      <c r="Q4" s="31">
        <v>2000</v>
      </c>
      <c r="R4" s="31">
        <v>7000</v>
      </c>
      <c r="S4" s="31">
        <v>6000</v>
      </c>
      <c r="T4" s="31"/>
      <c r="U4" s="31">
        <v>15000</v>
      </c>
      <c r="V4" s="31">
        <v>15000</v>
      </c>
      <c r="W4" s="31">
        <v>5000</v>
      </c>
      <c r="X4" s="32">
        <v>6000</v>
      </c>
    </row>
    <row r="5" spans="1:24">
      <c r="A5" s="9" t="s">
        <v>8</v>
      </c>
      <c r="B5" s="143">
        <f t="shared" si="0"/>
        <v>-7.6923076923076927E-2</v>
      </c>
      <c r="C5" s="135">
        <v>120000</v>
      </c>
      <c r="D5" s="1">
        <v>130000</v>
      </c>
      <c r="E5" s="120">
        <v>120000</v>
      </c>
      <c r="F5" s="31">
        <v>130000</v>
      </c>
      <c r="G5" s="31">
        <v>150000</v>
      </c>
      <c r="H5" s="31">
        <v>160000</v>
      </c>
      <c r="I5" s="31">
        <v>200000</v>
      </c>
      <c r="J5" s="31">
        <v>145000</v>
      </c>
      <c r="K5" s="31">
        <v>130000</v>
      </c>
      <c r="L5" s="31">
        <v>150000</v>
      </c>
      <c r="M5" s="31">
        <v>120000</v>
      </c>
      <c r="N5" s="1">
        <v>130000</v>
      </c>
      <c r="O5" s="31">
        <v>110000</v>
      </c>
      <c r="P5" s="31">
        <v>110000</v>
      </c>
      <c r="Q5" s="31">
        <v>120000</v>
      </c>
      <c r="R5" s="31">
        <v>80000</v>
      </c>
      <c r="S5" s="31">
        <v>85000</v>
      </c>
      <c r="T5" s="31">
        <v>65000</v>
      </c>
      <c r="U5" s="31">
        <v>70000</v>
      </c>
      <c r="V5" s="31">
        <v>60000</v>
      </c>
      <c r="W5" s="31">
        <v>45000</v>
      </c>
      <c r="X5" s="32">
        <v>40000</v>
      </c>
    </row>
    <row r="6" spans="1:24">
      <c r="A6" s="9" t="s">
        <v>13</v>
      </c>
      <c r="B6" s="143">
        <f t="shared" si="0"/>
        <v>0.13636363636363635</v>
      </c>
      <c r="C6" s="135">
        <v>25000</v>
      </c>
      <c r="D6" s="1">
        <v>22000</v>
      </c>
      <c r="E6" s="120">
        <v>25000</v>
      </c>
      <c r="F6" s="31">
        <v>22000</v>
      </c>
      <c r="G6" s="31">
        <v>25000</v>
      </c>
      <c r="H6" s="31">
        <v>30000</v>
      </c>
      <c r="I6" s="31">
        <v>90000</v>
      </c>
      <c r="J6" s="31">
        <v>75000</v>
      </c>
      <c r="K6" s="31">
        <v>80000</v>
      </c>
      <c r="L6" s="31">
        <v>95000</v>
      </c>
      <c r="M6" s="31">
        <v>95000</v>
      </c>
      <c r="N6" s="1">
        <v>100000</v>
      </c>
      <c r="O6" s="31">
        <v>100000</v>
      </c>
      <c r="P6" s="31">
        <v>100000</v>
      </c>
      <c r="Q6" s="31">
        <v>100000</v>
      </c>
      <c r="R6" s="31">
        <v>100000</v>
      </c>
      <c r="S6" s="31">
        <v>82000</v>
      </c>
      <c r="T6" s="31">
        <v>30000</v>
      </c>
      <c r="U6" s="31">
        <v>20000</v>
      </c>
      <c r="V6" s="31">
        <v>20000</v>
      </c>
      <c r="W6" s="31">
        <v>20000</v>
      </c>
      <c r="X6" s="32">
        <v>30000</v>
      </c>
    </row>
    <row r="7" spans="1:24">
      <c r="A7" s="9" t="s">
        <v>2</v>
      </c>
      <c r="B7" s="143">
        <f t="shared" si="0"/>
        <v>6.9767441860465115E-2</v>
      </c>
      <c r="C7" s="135">
        <v>230000</v>
      </c>
      <c r="D7" s="1">
        <v>215000</v>
      </c>
      <c r="E7" s="120">
        <v>230000</v>
      </c>
      <c r="F7" s="31">
        <v>215000</v>
      </c>
      <c r="G7" s="31">
        <v>240000</v>
      </c>
      <c r="H7" s="31">
        <v>220000</v>
      </c>
      <c r="I7" s="31">
        <v>240000</v>
      </c>
      <c r="J7" s="31">
        <v>150000</v>
      </c>
      <c r="K7" s="31">
        <v>120000</v>
      </c>
      <c r="L7" s="31">
        <v>150000</v>
      </c>
      <c r="M7" s="31">
        <v>150000</v>
      </c>
      <c r="N7" s="41">
        <v>170000</v>
      </c>
      <c r="O7" s="64">
        <v>170000</v>
      </c>
      <c r="P7" s="64">
        <v>170000</v>
      </c>
      <c r="Q7" s="64">
        <v>140000</v>
      </c>
      <c r="R7" s="64">
        <v>140000</v>
      </c>
      <c r="S7" s="64">
        <v>140000</v>
      </c>
      <c r="T7" s="64">
        <v>70000</v>
      </c>
      <c r="U7" s="64">
        <v>90000</v>
      </c>
      <c r="V7" s="64">
        <v>85000</v>
      </c>
      <c r="W7" s="31">
        <v>75000</v>
      </c>
      <c r="X7" s="32">
        <v>70000</v>
      </c>
    </row>
    <row r="8" spans="1:24">
      <c r="A8" s="9" t="s">
        <v>9</v>
      </c>
      <c r="B8" s="143">
        <f t="shared" si="0"/>
        <v>0.3125</v>
      </c>
      <c r="C8" s="135">
        <v>210000</v>
      </c>
      <c r="D8" s="1">
        <v>160000</v>
      </c>
      <c r="E8" s="120">
        <v>210000</v>
      </c>
      <c r="F8" s="31">
        <v>160000</v>
      </c>
      <c r="G8" s="31">
        <v>180000</v>
      </c>
      <c r="H8" s="31">
        <v>230000</v>
      </c>
      <c r="I8" s="31">
        <v>310000</v>
      </c>
      <c r="J8" s="31">
        <v>250000</v>
      </c>
      <c r="K8" s="31">
        <v>210000</v>
      </c>
      <c r="L8" s="31">
        <v>350000</v>
      </c>
      <c r="M8" s="31">
        <v>180000</v>
      </c>
      <c r="N8" s="41">
        <v>330000</v>
      </c>
      <c r="O8" s="64">
        <v>370000</v>
      </c>
      <c r="P8" s="64">
        <v>350000</v>
      </c>
      <c r="Q8" s="64">
        <v>300000</v>
      </c>
      <c r="R8" s="64">
        <v>270000</v>
      </c>
      <c r="S8" s="64">
        <v>240000</v>
      </c>
      <c r="T8" s="64">
        <v>100000</v>
      </c>
      <c r="U8" s="64">
        <v>120000</v>
      </c>
      <c r="V8" s="64">
        <v>140000</v>
      </c>
      <c r="W8" s="31">
        <v>40000</v>
      </c>
      <c r="X8" s="32">
        <v>100000</v>
      </c>
    </row>
    <row r="9" spans="1:24">
      <c r="A9" s="9" t="s">
        <v>25</v>
      </c>
      <c r="B9" s="143">
        <f t="shared" si="0"/>
        <v>0.1111111111111111</v>
      </c>
      <c r="C9" s="135">
        <v>50000</v>
      </c>
      <c r="D9" s="1">
        <v>45000</v>
      </c>
      <c r="E9" s="120">
        <v>50000</v>
      </c>
      <c r="F9" s="31">
        <v>45000</v>
      </c>
      <c r="G9" s="31">
        <v>60000</v>
      </c>
      <c r="H9" s="31">
        <v>70000</v>
      </c>
      <c r="I9" s="31">
        <v>100000</v>
      </c>
      <c r="J9" s="31">
        <v>120000</v>
      </c>
      <c r="K9" s="31">
        <v>80000</v>
      </c>
      <c r="L9" s="31">
        <v>120000</v>
      </c>
      <c r="M9" s="31">
        <v>55000</v>
      </c>
      <c r="N9" s="41">
        <v>120000</v>
      </c>
      <c r="O9" s="64">
        <v>120000</v>
      </c>
      <c r="P9" s="64">
        <v>110000</v>
      </c>
      <c r="Q9" s="64">
        <v>95000</v>
      </c>
      <c r="R9" s="64">
        <v>95000</v>
      </c>
      <c r="S9" s="64">
        <v>90000</v>
      </c>
      <c r="T9" s="64">
        <v>40000</v>
      </c>
      <c r="U9" s="64">
        <v>80000</v>
      </c>
      <c r="V9" s="64">
        <v>60000</v>
      </c>
      <c r="W9" s="31">
        <v>10000</v>
      </c>
      <c r="X9" s="32">
        <v>30000</v>
      </c>
    </row>
    <row r="10" spans="1:24">
      <c r="A10" s="9" t="s">
        <v>153</v>
      </c>
      <c r="B10" s="143">
        <f t="shared" si="0"/>
        <v>0.15384615384615385</v>
      </c>
      <c r="C10" s="135">
        <v>75000</v>
      </c>
      <c r="D10" s="1">
        <v>65000</v>
      </c>
      <c r="E10" s="120">
        <v>75000</v>
      </c>
      <c r="F10" s="31">
        <v>65000</v>
      </c>
      <c r="G10" s="31">
        <v>80000</v>
      </c>
      <c r="H10" s="31">
        <v>90000</v>
      </c>
      <c r="I10" s="31">
        <v>135000</v>
      </c>
      <c r="J10" s="31">
        <v>140000</v>
      </c>
      <c r="K10" s="31">
        <v>50000</v>
      </c>
      <c r="L10" s="31">
        <v>150000</v>
      </c>
      <c r="M10" s="31">
        <v>95000</v>
      </c>
      <c r="N10" s="41">
        <v>140000</v>
      </c>
      <c r="O10" s="64">
        <v>140000</v>
      </c>
      <c r="P10" s="64">
        <v>135000</v>
      </c>
      <c r="Q10" s="64">
        <v>130000</v>
      </c>
      <c r="R10" s="64">
        <v>130000</v>
      </c>
      <c r="S10" s="64">
        <v>115000</v>
      </c>
      <c r="T10" s="64"/>
      <c r="U10" s="64">
        <v>10000</v>
      </c>
      <c r="V10" s="64">
        <v>10000</v>
      </c>
      <c r="W10" s="31">
        <v>5000</v>
      </c>
      <c r="X10" s="32">
        <v>10000</v>
      </c>
    </row>
    <row r="11" spans="1:24">
      <c r="A11" s="164" t="s">
        <v>32</v>
      </c>
      <c r="B11" s="143" t="str">
        <f t="shared" si="0"/>
        <v/>
      </c>
      <c r="C11" s="135">
        <v>0</v>
      </c>
      <c r="D11" s="1">
        <v>0</v>
      </c>
      <c r="E11" s="120"/>
      <c r="F11" s="31"/>
      <c r="G11" s="31"/>
      <c r="H11" s="31"/>
      <c r="I11" s="31"/>
      <c r="J11" s="31"/>
      <c r="K11" s="31"/>
      <c r="L11" s="31"/>
      <c r="M11" s="31"/>
      <c r="N11" s="41"/>
      <c r="O11" s="64">
        <v>0</v>
      </c>
      <c r="P11" s="64">
        <v>2000</v>
      </c>
      <c r="Q11" s="64">
        <v>2000</v>
      </c>
      <c r="R11" s="64">
        <v>5000</v>
      </c>
      <c r="S11" s="64">
        <v>5000</v>
      </c>
      <c r="T11" s="64">
        <v>30000</v>
      </c>
      <c r="U11" s="64">
        <v>65000</v>
      </c>
      <c r="V11" s="64">
        <v>45000</v>
      </c>
      <c r="W11" s="31">
        <v>30000</v>
      </c>
      <c r="X11" s="32">
        <v>45000</v>
      </c>
    </row>
    <row r="12" spans="1:24">
      <c r="A12" s="164" t="s">
        <v>12</v>
      </c>
      <c r="B12" s="143">
        <f t="shared" si="0"/>
        <v>0.2</v>
      </c>
      <c r="C12" s="135">
        <v>60000</v>
      </c>
      <c r="D12" s="1">
        <v>50000</v>
      </c>
      <c r="E12" s="120">
        <v>60000</v>
      </c>
      <c r="F12" s="31">
        <v>50000</v>
      </c>
      <c r="G12" s="31">
        <v>55000</v>
      </c>
      <c r="H12" s="31">
        <v>50000</v>
      </c>
      <c r="I12" s="31">
        <v>50000</v>
      </c>
      <c r="J12" s="31">
        <v>40000</v>
      </c>
      <c r="K12" s="31">
        <v>15000</v>
      </c>
      <c r="L12" s="31">
        <v>45000</v>
      </c>
      <c r="M12" s="31">
        <v>20000</v>
      </c>
      <c r="N12" s="41">
        <v>20000</v>
      </c>
      <c r="O12" s="64">
        <v>20000</v>
      </c>
      <c r="P12" s="64">
        <v>20000</v>
      </c>
      <c r="Q12" s="64">
        <v>18000</v>
      </c>
      <c r="R12" s="64">
        <v>30000</v>
      </c>
      <c r="S12" s="64">
        <v>32000</v>
      </c>
      <c r="T12" s="64"/>
      <c r="U12" s="64">
        <v>20000</v>
      </c>
      <c r="V12" s="64">
        <v>10000</v>
      </c>
      <c r="W12" s="31">
        <v>3000</v>
      </c>
      <c r="X12" s="32">
        <v>5000</v>
      </c>
    </row>
    <row r="13" spans="1:24">
      <c r="A13" s="164" t="s">
        <v>18</v>
      </c>
      <c r="B13" s="143">
        <f t="shared" si="0"/>
        <v>0.1111111111111111</v>
      </c>
      <c r="C13" s="135">
        <v>50000</v>
      </c>
      <c r="D13" s="1">
        <v>45000</v>
      </c>
      <c r="E13" s="120">
        <v>50000</v>
      </c>
      <c r="F13" s="31">
        <v>45000</v>
      </c>
      <c r="G13" s="31">
        <v>50000</v>
      </c>
      <c r="H13" s="31">
        <v>60000</v>
      </c>
      <c r="I13" s="31">
        <v>50000</v>
      </c>
      <c r="J13" s="31">
        <v>30000</v>
      </c>
      <c r="K13" s="31">
        <v>22000</v>
      </c>
      <c r="L13" s="31">
        <v>15000</v>
      </c>
      <c r="M13" s="31">
        <v>4000</v>
      </c>
      <c r="N13" s="41">
        <v>10000</v>
      </c>
      <c r="O13" s="64">
        <v>10000</v>
      </c>
      <c r="P13" s="64">
        <v>6000</v>
      </c>
      <c r="Q13" s="64">
        <v>3000</v>
      </c>
      <c r="R13" s="64">
        <v>4000</v>
      </c>
      <c r="S13" s="64">
        <v>6000</v>
      </c>
      <c r="T13" s="64"/>
      <c r="U13" s="64">
        <v>20000</v>
      </c>
      <c r="V13" s="64">
        <v>15000</v>
      </c>
      <c r="W13" s="31">
        <v>8000</v>
      </c>
      <c r="X13" s="32">
        <v>10000</v>
      </c>
    </row>
    <row r="14" spans="1:24">
      <c r="A14" s="164" t="s">
        <v>96</v>
      </c>
      <c r="B14" s="143">
        <f t="shared" si="0"/>
        <v>0.29032258064516131</v>
      </c>
      <c r="C14" s="135">
        <v>200000</v>
      </c>
      <c r="D14" s="1">
        <v>155000</v>
      </c>
      <c r="E14" s="120">
        <v>200000</v>
      </c>
      <c r="F14" s="31">
        <v>155000</v>
      </c>
      <c r="G14" s="31">
        <v>185000</v>
      </c>
      <c r="H14" s="31">
        <v>270000</v>
      </c>
      <c r="I14" s="31">
        <v>210000</v>
      </c>
      <c r="J14" s="31">
        <v>180000</v>
      </c>
      <c r="K14" s="31">
        <v>150000</v>
      </c>
      <c r="L14" s="31">
        <v>90000</v>
      </c>
      <c r="M14" s="31"/>
      <c r="N14" s="41"/>
      <c r="O14" s="64"/>
      <c r="P14" s="64"/>
      <c r="Q14" s="64"/>
      <c r="R14" s="64"/>
      <c r="S14" s="64"/>
      <c r="T14" s="64"/>
      <c r="U14" s="64"/>
      <c r="V14" s="64"/>
      <c r="W14" s="31"/>
      <c r="X14" s="32"/>
    </row>
    <row r="15" spans="1:24">
      <c r="A15" s="164" t="s">
        <v>87</v>
      </c>
      <c r="B15" s="143">
        <f t="shared" si="0"/>
        <v>5.5555555555555552E-2</v>
      </c>
      <c r="C15" s="135">
        <v>95000</v>
      </c>
      <c r="D15" s="1">
        <v>90000</v>
      </c>
      <c r="E15" s="120">
        <v>95000</v>
      </c>
      <c r="F15" s="31">
        <v>90000</v>
      </c>
      <c r="G15" s="31">
        <v>100000</v>
      </c>
      <c r="H15" s="31">
        <v>120000</v>
      </c>
      <c r="I15" s="31">
        <v>140000</v>
      </c>
      <c r="J15" s="31">
        <v>170000</v>
      </c>
      <c r="K15" s="31">
        <v>150000</v>
      </c>
      <c r="L15" s="31">
        <v>230000</v>
      </c>
      <c r="M15" s="31">
        <v>170000</v>
      </c>
      <c r="N15" s="41">
        <v>210000</v>
      </c>
      <c r="O15" s="64">
        <v>210000</v>
      </c>
      <c r="P15" s="64">
        <v>210000</v>
      </c>
      <c r="Q15" s="64">
        <v>200000</v>
      </c>
      <c r="R15" s="64">
        <v>170000</v>
      </c>
      <c r="S15" s="64">
        <v>145000</v>
      </c>
      <c r="T15" s="64">
        <v>70000</v>
      </c>
      <c r="U15" s="64">
        <v>100000</v>
      </c>
      <c r="V15" s="64">
        <v>100000</v>
      </c>
      <c r="W15" s="31">
        <v>75000</v>
      </c>
      <c r="X15" s="32">
        <v>80000</v>
      </c>
    </row>
    <row r="16" spans="1:24">
      <c r="A16" s="164" t="s">
        <v>33</v>
      </c>
      <c r="B16" s="143" t="str">
        <f t="shared" si="0"/>
        <v/>
      </c>
      <c r="C16" s="135">
        <v>0</v>
      </c>
      <c r="D16" s="1">
        <v>0</v>
      </c>
      <c r="E16" s="120"/>
      <c r="F16" s="31"/>
      <c r="G16" s="31"/>
      <c r="H16" s="31"/>
      <c r="I16" s="31"/>
      <c r="J16" s="31"/>
      <c r="K16" s="31"/>
      <c r="L16" s="31"/>
      <c r="M16" s="31"/>
      <c r="N16" s="41"/>
      <c r="O16" s="64"/>
      <c r="P16" s="64"/>
      <c r="Q16" s="64"/>
      <c r="R16" s="64"/>
      <c r="S16" s="64"/>
      <c r="T16" s="64"/>
      <c r="U16" s="64">
        <v>5000</v>
      </c>
      <c r="V16" s="64">
        <v>5000</v>
      </c>
      <c r="W16" s="31">
        <v>0</v>
      </c>
      <c r="X16" s="32">
        <v>0</v>
      </c>
    </row>
    <row r="17" spans="1:25" ht="13.8" thickBot="1">
      <c r="A17" s="10" t="s">
        <v>57</v>
      </c>
      <c r="B17" s="143">
        <f t="shared" si="0"/>
        <v>0</v>
      </c>
      <c r="C17" s="135">
        <v>90000</v>
      </c>
      <c r="D17" s="1">
        <v>90000</v>
      </c>
      <c r="E17" s="120">
        <v>90000</v>
      </c>
      <c r="F17" s="31">
        <v>90000</v>
      </c>
      <c r="G17" s="31">
        <v>100000</v>
      </c>
      <c r="H17" s="31">
        <v>120000</v>
      </c>
      <c r="I17" s="31">
        <v>170000</v>
      </c>
      <c r="J17" s="31">
        <v>300000</v>
      </c>
      <c r="K17" s="31">
        <v>120000</v>
      </c>
      <c r="L17" s="31">
        <v>310000</v>
      </c>
      <c r="M17" s="31">
        <v>150000</v>
      </c>
      <c r="N17" s="41">
        <v>230000</v>
      </c>
      <c r="O17" s="64">
        <v>250000</v>
      </c>
      <c r="P17" s="64">
        <v>250000</v>
      </c>
      <c r="Q17" s="64">
        <v>130000</v>
      </c>
      <c r="R17" s="64">
        <v>170000</v>
      </c>
      <c r="S17" s="64">
        <v>105000</v>
      </c>
      <c r="T17" s="64">
        <v>30000</v>
      </c>
      <c r="U17" s="64">
        <v>50000</v>
      </c>
      <c r="V17" s="64">
        <v>50000</v>
      </c>
      <c r="W17" s="31">
        <v>52000</v>
      </c>
      <c r="X17" s="32">
        <v>49000</v>
      </c>
    </row>
    <row r="18" spans="1:25" s="45" customFormat="1" ht="13.8" thickBot="1">
      <c r="A18" s="11" t="s">
        <v>21</v>
      </c>
      <c r="B18" s="94">
        <f t="shared" si="0"/>
        <v>0.12933458294283037</v>
      </c>
      <c r="C18" s="136">
        <v>1205000</v>
      </c>
      <c r="D18" s="89">
        <v>1067000</v>
      </c>
      <c r="E18" s="137">
        <f t="shared" ref="E18" si="1">SUM(E2:E17)</f>
        <v>1205000</v>
      </c>
      <c r="F18" s="39">
        <f t="shared" ref="F18" si="2">SUM(F2:F17)</f>
        <v>1067000</v>
      </c>
      <c r="G18" s="39">
        <f t="shared" ref="G18:K18" si="3">SUM(G2:G17)</f>
        <v>1225000</v>
      </c>
      <c r="H18" s="39">
        <f t="shared" si="3"/>
        <v>1420000</v>
      </c>
      <c r="I18" s="39">
        <f t="shared" si="3"/>
        <v>1695000</v>
      </c>
      <c r="J18" s="39">
        <f t="shared" si="3"/>
        <v>1600000</v>
      </c>
      <c r="K18" s="39">
        <f t="shared" si="3"/>
        <v>1127000</v>
      </c>
      <c r="L18" s="89">
        <v>1705000</v>
      </c>
      <c r="M18" s="89">
        <v>1039000</v>
      </c>
      <c r="N18" s="89">
        <f>SUM(N3:N17)</f>
        <v>1460000</v>
      </c>
      <c r="O18" s="39">
        <f>SUM(O2:O17)</f>
        <v>1501000</v>
      </c>
      <c r="P18" s="39">
        <f>SUM(P2:P17)</f>
        <v>1466000</v>
      </c>
      <c r="Q18" s="39">
        <f>SUM(Q2:Q17)</f>
        <v>1243000</v>
      </c>
      <c r="R18" s="39">
        <f>SUM(R2:R17)</f>
        <v>1208000</v>
      </c>
      <c r="S18" s="39">
        <f t="shared" ref="S18:X18" si="4">SUM(S2:S17)</f>
        <v>1057000</v>
      </c>
      <c r="T18" s="39">
        <f t="shared" si="4"/>
        <v>450000</v>
      </c>
      <c r="U18" s="39">
        <f t="shared" si="4"/>
        <v>700000</v>
      </c>
      <c r="V18" s="39">
        <f t="shared" si="4"/>
        <v>650000</v>
      </c>
      <c r="W18" s="39">
        <f t="shared" si="4"/>
        <v>380000</v>
      </c>
      <c r="X18" s="40">
        <f t="shared" si="4"/>
        <v>500000</v>
      </c>
    </row>
    <row r="19" spans="1:25">
      <c r="B19" s="22"/>
      <c r="C19" s="22"/>
      <c r="F19" s="52"/>
      <c r="G19" s="52"/>
      <c r="H19" s="52"/>
      <c r="I19" s="52"/>
      <c r="J19" s="52"/>
      <c r="K19" s="52"/>
      <c r="L19" s="52"/>
      <c r="M19" s="52"/>
      <c r="N19" s="52"/>
    </row>
    <row r="20" spans="1:25" ht="13.8" thickBot="1">
      <c r="B20" s="22"/>
      <c r="C20" s="22"/>
      <c r="D20" s="22"/>
      <c r="E20" s="22"/>
      <c r="F20" s="52"/>
      <c r="G20" s="52"/>
      <c r="H20" s="52"/>
      <c r="I20" s="52"/>
      <c r="J20" s="52"/>
      <c r="K20" s="52"/>
      <c r="L20" s="52"/>
      <c r="M20" s="52"/>
      <c r="N20" s="52"/>
    </row>
    <row r="21" spans="1:25" ht="13.8" thickBot="1">
      <c r="A21" s="11" t="s">
        <v>23</v>
      </c>
      <c r="B21" s="12" t="s">
        <v>169</v>
      </c>
      <c r="C21" s="132" t="s">
        <v>170</v>
      </c>
      <c r="D21" s="133" t="s">
        <v>168</v>
      </c>
      <c r="E21" s="134">
        <v>45992</v>
      </c>
      <c r="F21" s="13">
        <v>45627</v>
      </c>
      <c r="G21" s="13">
        <v>45261</v>
      </c>
      <c r="H21" s="13">
        <v>44896</v>
      </c>
      <c r="I21" s="13">
        <v>44531</v>
      </c>
      <c r="J21" s="13">
        <v>44166</v>
      </c>
      <c r="K21" s="13">
        <v>43800</v>
      </c>
      <c r="L21" s="13">
        <v>43435</v>
      </c>
      <c r="M21" s="13">
        <v>43070</v>
      </c>
      <c r="N21" s="13">
        <v>42705</v>
      </c>
      <c r="O21" s="28">
        <f>O1</f>
        <v>42339</v>
      </c>
      <c r="P21" s="28">
        <f>P1</f>
        <v>41974</v>
      </c>
      <c r="Q21" s="28">
        <v>41609</v>
      </c>
      <c r="R21" s="28">
        <v>41244</v>
      </c>
      <c r="S21" s="28">
        <v>40878</v>
      </c>
      <c r="T21" s="28">
        <v>40513</v>
      </c>
      <c r="U21" s="28">
        <v>40148</v>
      </c>
      <c r="V21" s="28">
        <v>39783</v>
      </c>
      <c r="W21" s="28">
        <v>39417</v>
      </c>
      <c r="X21" s="44">
        <v>39052</v>
      </c>
    </row>
    <row r="22" spans="1:25">
      <c r="A22" s="9" t="s">
        <v>6</v>
      </c>
      <c r="B22" s="15">
        <f t="shared" ref="B22:B25" si="5">IFERROR(((E22-F22)/F22),"")</f>
        <v>0.1</v>
      </c>
      <c r="C22" s="135">
        <v>55000</v>
      </c>
      <c r="D22" s="1">
        <v>50000</v>
      </c>
      <c r="E22" s="120">
        <v>55000</v>
      </c>
      <c r="F22" s="31">
        <v>50000</v>
      </c>
      <c r="G22" s="31">
        <v>40000</v>
      </c>
      <c r="H22" s="31">
        <v>45000</v>
      </c>
      <c r="I22" s="31">
        <v>35000</v>
      </c>
      <c r="J22" s="31">
        <v>30000</v>
      </c>
      <c r="K22" s="31">
        <v>15000</v>
      </c>
      <c r="L22" s="31">
        <v>30000</v>
      </c>
      <c r="M22" s="31">
        <v>12000</v>
      </c>
      <c r="N22" s="31">
        <v>15000</v>
      </c>
      <c r="O22" s="31">
        <v>20000</v>
      </c>
      <c r="P22" s="31">
        <v>10000</v>
      </c>
      <c r="Q22" s="31">
        <v>25000</v>
      </c>
      <c r="R22" s="31">
        <v>7000</v>
      </c>
      <c r="S22" s="31">
        <v>15000</v>
      </c>
      <c r="T22" s="31">
        <v>15000</v>
      </c>
      <c r="U22" s="31">
        <v>35000</v>
      </c>
      <c r="V22" s="31">
        <v>25000</v>
      </c>
      <c r="W22" s="31">
        <v>10000</v>
      </c>
      <c r="X22" s="32">
        <v>30000</v>
      </c>
    </row>
    <row r="23" spans="1:25">
      <c r="A23" s="80" t="s">
        <v>93</v>
      </c>
      <c r="B23" s="143" t="str">
        <f t="shared" si="5"/>
        <v/>
      </c>
      <c r="C23" s="135">
        <v>0</v>
      </c>
      <c r="D23" s="1">
        <v>0</v>
      </c>
      <c r="E23" s="120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>
        <v>1000</v>
      </c>
      <c r="X23" s="32">
        <v>3000</v>
      </c>
    </row>
    <row r="24" spans="1:25" ht="13.8" thickBot="1">
      <c r="A24" s="18" t="s">
        <v>57</v>
      </c>
      <c r="B24" s="16">
        <f t="shared" si="5"/>
        <v>0</v>
      </c>
      <c r="C24" s="145">
        <v>6000</v>
      </c>
      <c r="D24" s="7">
        <v>6000</v>
      </c>
      <c r="E24" s="121">
        <v>6000</v>
      </c>
      <c r="F24" s="31">
        <v>6000</v>
      </c>
      <c r="G24" s="31"/>
      <c r="H24" s="31">
        <v>5000</v>
      </c>
      <c r="I24" s="31">
        <v>6000</v>
      </c>
      <c r="J24" s="31">
        <v>6000</v>
      </c>
      <c r="K24" s="35">
        <v>3000</v>
      </c>
      <c r="L24" s="35">
        <v>7000</v>
      </c>
      <c r="M24" s="35">
        <v>1000</v>
      </c>
      <c r="N24" s="35">
        <v>1000</v>
      </c>
      <c r="O24" s="35">
        <v>3000</v>
      </c>
      <c r="P24" s="35">
        <v>3000</v>
      </c>
      <c r="Q24" s="35">
        <v>5000</v>
      </c>
      <c r="R24" s="35">
        <v>1000</v>
      </c>
      <c r="S24" s="35">
        <v>4000</v>
      </c>
      <c r="T24" s="35">
        <v>7000</v>
      </c>
      <c r="U24" s="35">
        <v>15000</v>
      </c>
      <c r="V24" s="35">
        <v>10000</v>
      </c>
      <c r="W24" s="35">
        <v>7000</v>
      </c>
      <c r="X24" s="36">
        <v>7000</v>
      </c>
    </row>
    <row r="25" spans="1:25" s="45" customFormat="1" ht="13.8" thickBot="1">
      <c r="A25" s="19" t="s">
        <v>21</v>
      </c>
      <c r="B25" s="20">
        <f t="shared" si="5"/>
        <v>8.9285714285714288E-2</v>
      </c>
      <c r="C25" s="146">
        <v>61000</v>
      </c>
      <c r="D25" s="21">
        <v>56000</v>
      </c>
      <c r="E25" s="122">
        <f>SUM(E22:E24)</f>
        <v>61000</v>
      </c>
      <c r="F25" s="39">
        <f t="shared" ref="F25" si="6">SUM(F22:F24)</f>
        <v>56000</v>
      </c>
      <c r="G25" s="39">
        <f t="shared" ref="G25:K25" si="7">SUM(G22:G24)</f>
        <v>40000</v>
      </c>
      <c r="H25" s="39">
        <f t="shared" si="7"/>
        <v>50000</v>
      </c>
      <c r="I25" s="39">
        <f t="shared" si="7"/>
        <v>41000</v>
      </c>
      <c r="J25" s="39">
        <f t="shared" si="7"/>
        <v>36000</v>
      </c>
      <c r="K25" s="109">
        <f t="shared" si="7"/>
        <v>18000</v>
      </c>
      <c r="L25" s="50">
        <v>37000</v>
      </c>
      <c r="M25" s="50">
        <v>13000</v>
      </c>
      <c r="N25" s="50">
        <f>SUM(N22:N24)</f>
        <v>16000</v>
      </c>
      <c r="O25" s="50">
        <f>SUM(O22:O24)</f>
        <v>23000</v>
      </c>
      <c r="P25" s="50">
        <f>SUM(P22:P24)</f>
        <v>13000</v>
      </c>
      <c r="Q25" s="50">
        <f>SUM(Q22:Q24)</f>
        <v>30000</v>
      </c>
      <c r="R25" s="50">
        <f t="shared" ref="R25:X25" si="8">SUM(R22:R24)</f>
        <v>8000</v>
      </c>
      <c r="S25" s="50">
        <f t="shared" si="8"/>
        <v>19000</v>
      </c>
      <c r="T25" s="50">
        <f t="shared" si="8"/>
        <v>22000</v>
      </c>
      <c r="U25" s="50">
        <f t="shared" si="8"/>
        <v>50000</v>
      </c>
      <c r="V25" s="50">
        <f t="shared" si="8"/>
        <v>35000</v>
      </c>
      <c r="W25" s="50">
        <f t="shared" si="8"/>
        <v>18000</v>
      </c>
      <c r="X25" s="51">
        <f t="shared" si="8"/>
        <v>40000</v>
      </c>
    </row>
    <row r="27" spans="1:25">
      <c r="B27" s="3" t="s">
        <v>177</v>
      </c>
    </row>
    <row r="28" spans="1:25">
      <c r="B28" s="3" t="s">
        <v>178</v>
      </c>
    </row>
    <row r="32" spans="1:25" ht="17.399999999999999">
      <c r="W32" s="66"/>
      <c r="X32" s="31"/>
      <c r="Y32" s="31"/>
    </row>
    <row r="33" spans="23:25" ht="17.399999999999999">
      <c r="W33" s="66"/>
      <c r="X33" s="31"/>
      <c r="Y33" s="31"/>
    </row>
    <row r="34" spans="23:25" ht="17.399999999999999">
      <c r="W34" s="66"/>
      <c r="X34" s="31"/>
      <c r="Y34" s="31"/>
    </row>
    <row r="35" spans="23:25" ht="17.399999999999999">
      <c r="W35" s="66"/>
      <c r="X35" s="31"/>
      <c r="Y35" s="31"/>
    </row>
    <row r="36" spans="23:25" ht="17.399999999999999">
      <c r="W36" s="66"/>
      <c r="X36" s="31"/>
      <c r="Y36" s="31"/>
    </row>
    <row r="37" spans="23:25" ht="17.399999999999999">
      <c r="W37" s="66"/>
      <c r="X37" s="31"/>
      <c r="Y37" s="31"/>
    </row>
    <row r="38" spans="23:25" ht="17.399999999999999">
      <c r="W38" s="66"/>
      <c r="X38" s="31"/>
      <c r="Y38" s="31"/>
    </row>
    <row r="39" spans="23:25" ht="17.399999999999999">
      <c r="W39" s="66"/>
      <c r="X39" s="31"/>
      <c r="Y39" s="31"/>
    </row>
    <row r="40" spans="23:25" ht="17.399999999999999">
      <c r="W40" s="66"/>
      <c r="X40" s="31"/>
      <c r="Y40" s="31"/>
    </row>
    <row r="41" spans="23:25" ht="17.399999999999999">
      <c r="W41" s="66"/>
      <c r="X41" s="31"/>
      <c r="Y41" s="31"/>
    </row>
    <row r="42" spans="23:25" ht="17.399999999999999">
      <c r="W42" s="67"/>
      <c r="X42" s="31"/>
      <c r="Y42" s="31"/>
    </row>
    <row r="43" spans="23:25" ht="18">
      <c r="W43" s="68"/>
      <c r="X43" s="60"/>
      <c r="Y43" s="60"/>
    </row>
  </sheetData>
  <conditionalFormatting sqref="E1">
    <cfRule type="expression" dxfId="11" priority="2">
      <formula>ISBLANK(XFD1)=FALSE</formula>
    </cfRule>
  </conditionalFormatting>
  <conditionalFormatting sqref="E21">
    <cfRule type="expression" dxfId="10" priority="1">
      <formula>ISBLANK(XFD21)=FALSE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5"/>
  <sheetViews>
    <sheetView workbookViewId="0"/>
  </sheetViews>
  <sheetFormatPr defaultColWidth="8.6640625" defaultRowHeight="13.2"/>
  <cols>
    <col min="1" max="1" width="22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1" width="11.44140625" customWidth="1"/>
    <col min="12" max="14" width="11" customWidth="1"/>
    <col min="15" max="20" width="10.6640625" customWidth="1"/>
    <col min="21" max="21" width="11.109375" customWidth="1"/>
  </cols>
  <sheetData>
    <row r="1" spans="1:21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07">
        <v>43800</v>
      </c>
      <c r="L1" s="107">
        <v>43435</v>
      </c>
      <c r="M1" s="107">
        <v>43070</v>
      </c>
      <c r="N1" s="13">
        <v>42705</v>
      </c>
      <c r="O1" s="13">
        <v>42339</v>
      </c>
      <c r="P1" s="13">
        <v>41974</v>
      </c>
      <c r="Q1" s="13">
        <v>41609</v>
      </c>
      <c r="R1" s="13">
        <v>41244</v>
      </c>
      <c r="S1" s="13">
        <v>40878</v>
      </c>
      <c r="T1" s="13">
        <v>40513</v>
      </c>
      <c r="U1" s="14">
        <v>40148</v>
      </c>
    </row>
    <row r="2" spans="1:21">
      <c r="A2" s="80" t="s">
        <v>8</v>
      </c>
      <c r="B2" s="81" t="str">
        <f t="shared" ref="B2:B9" si="0">IFERROR(((E2-F2)/F2),"")</f>
        <v/>
      </c>
      <c r="C2" s="186"/>
      <c r="D2" s="90"/>
      <c r="E2" s="128"/>
      <c r="F2" s="90"/>
      <c r="G2" s="90"/>
      <c r="H2" s="90"/>
      <c r="I2" s="90"/>
      <c r="J2" s="90"/>
      <c r="K2" s="90"/>
      <c r="L2" s="90"/>
      <c r="M2" s="90"/>
      <c r="N2" s="88"/>
      <c r="O2" s="88"/>
      <c r="P2" s="88"/>
      <c r="Q2" s="88"/>
      <c r="R2" s="88"/>
      <c r="S2" s="88"/>
      <c r="T2" s="88"/>
      <c r="U2" s="82"/>
    </row>
    <row r="3" spans="1:21">
      <c r="A3" s="80" t="s">
        <v>146</v>
      </c>
      <c r="B3" s="81" t="str">
        <f t="shared" si="0"/>
        <v/>
      </c>
      <c r="C3" s="186"/>
      <c r="D3" s="90"/>
      <c r="E3" s="128"/>
      <c r="F3" s="90"/>
      <c r="G3" s="90"/>
      <c r="H3" s="90"/>
      <c r="I3" s="90"/>
      <c r="J3" s="90"/>
      <c r="K3" s="90"/>
      <c r="L3" s="90"/>
      <c r="M3" s="90"/>
      <c r="N3" s="88"/>
      <c r="O3" s="88"/>
      <c r="P3" s="88"/>
      <c r="Q3" s="88"/>
      <c r="R3" s="88"/>
      <c r="S3" s="88"/>
      <c r="T3" s="88"/>
      <c r="U3" s="82"/>
    </row>
    <row r="4" spans="1:21">
      <c r="A4" s="80" t="s">
        <v>25</v>
      </c>
      <c r="B4" s="81" t="str">
        <f t="shared" si="0"/>
        <v/>
      </c>
      <c r="C4" s="186"/>
      <c r="D4" s="90"/>
      <c r="E4" s="128"/>
      <c r="F4" s="90"/>
      <c r="G4" s="90"/>
      <c r="H4" s="90"/>
      <c r="I4" s="90"/>
      <c r="J4" s="90"/>
      <c r="K4" s="90"/>
      <c r="L4" s="90"/>
      <c r="M4" s="90"/>
      <c r="N4" s="88"/>
      <c r="O4" s="88"/>
      <c r="P4" s="88"/>
      <c r="Q4" s="88"/>
      <c r="R4" s="88"/>
      <c r="S4" s="88"/>
      <c r="T4" s="88"/>
      <c r="U4" s="82"/>
    </row>
    <row r="5" spans="1:21">
      <c r="A5" s="80" t="s">
        <v>24</v>
      </c>
      <c r="B5" s="81" t="str">
        <f t="shared" si="0"/>
        <v/>
      </c>
      <c r="C5" s="186"/>
      <c r="D5" s="90"/>
      <c r="E5" s="128"/>
      <c r="F5" s="90"/>
      <c r="G5" s="90"/>
      <c r="H5" s="90"/>
      <c r="I5" s="90"/>
      <c r="J5" s="90"/>
      <c r="K5" s="90"/>
      <c r="L5" s="90"/>
      <c r="M5" s="90"/>
      <c r="N5" s="88"/>
      <c r="O5" s="88"/>
      <c r="P5" s="88"/>
      <c r="Q5" s="88"/>
      <c r="R5" s="88"/>
      <c r="S5" s="88"/>
      <c r="T5" s="88"/>
      <c r="U5" s="82"/>
    </row>
    <row r="6" spans="1:21">
      <c r="A6" s="80" t="s">
        <v>18</v>
      </c>
      <c r="B6" s="81" t="str">
        <f t="shared" si="0"/>
        <v/>
      </c>
      <c r="C6" s="186"/>
      <c r="D6" s="90"/>
      <c r="E6" s="128"/>
      <c r="F6" s="90"/>
      <c r="G6" s="90"/>
      <c r="H6" s="90"/>
      <c r="I6" s="90"/>
      <c r="J6" s="90"/>
      <c r="K6" s="90"/>
      <c r="L6" s="90"/>
      <c r="M6" s="90"/>
      <c r="N6" s="88"/>
      <c r="O6" s="88"/>
      <c r="P6" s="88"/>
      <c r="Q6" s="88"/>
      <c r="R6" s="88"/>
      <c r="S6" s="88"/>
      <c r="T6" s="88"/>
      <c r="U6" s="82"/>
    </row>
    <row r="7" spans="1:21">
      <c r="A7" s="80" t="s">
        <v>86</v>
      </c>
      <c r="B7" s="81" t="str">
        <f t="shared" si="0"/>
        <v/>
      </c>
      <c r="C7" s="186"/>
      <c r="D7" s="90"/>
      <c r="E7" s="128"/>
      <c r="F7" s="90"/>
      <c r="G7" s="90"/>
      <c r="H7" s="90"/>
      <c r="I7" s="90"/>
      <c r="J7" s="90"/>
      <c r="K7" s="90"/>
      <c r="L7" s="90"/>
      <c r="M7" s="90"/>
      <c r="N7" s="88"/>
      <c r="O7" s="88"/>
      <c r="P7" s="88"/>
      <c r="Q7" s="88"/>
      <c r="R7" s="88"/>
      <c r="S7" s="88"/>
      <c r="T7" s="88"/>
      <c r="U7" s="82"/>
    </row>
    <row r="8" spans="1:21" ht="13.8" thickBot="1">
      <c r="A8" s="83" t="s">
        <v>5</v>
      </c>
      <c r="B8" s="84" t="str">
        <f t="shared" si="0"/>
        <v/>
      </c>
      <c r="C8" s="187"/>
      <c r="D8" s="91"/>
      <c r="E8" s="129"/>
      <c r="F8" s="91"/>
      <c r="G8" s="91"/>
      <c r="H8" s="91"/>
      <c r="I8" s="91"/>
      <c r="J8" s="91"/>
      <c r="K8" s="91"/>
      <c r="L8" s="91"/>
      <c r="M8" s="91"/>
      <c r="N8" s="103"/>
      <c r="O8" s="88"/>
      <c r="P8" s="88"/>
      <c r="Q8" s="88"/>
      <c r="R8" s="88"/>
      <c r="S8" s="88"/>
      <c r="T8" s="88"/>
      <c r="U8" s="82"/>
    </row>
    <row r="9" spans="1:21" ht="13.8" thickBot="1">
      <c r="A9" s="85" t="s">
        <v>92</v>
      </c>
      <c r="B9" s="86" t="str">
        <f t="shared" si="0"/>
        <v/>
      </c>
      <c r="C9" s="188"/>
      <c r="D9" s="92"/>
      <c r="E9" s="130"/>
      <c r="F9" s="92"/>
      <c r="G9" s="92"/>
      <c r="H9" s="92"/>
      <c r="I9" s="92"/>
      <c r="J9" s="92"/>
      <c r="K9" s="92"/>
      <c r="L9" s="92"/>
      <c r="M9" s="92"/>
      <c r="N9" s="89"/>
      <c r="O9" s="89"/>
      <c r="P9" s="89"/>
      <c r="Q9" s="89"/>
      <c r="R9" s="89"/>
      <c r="S9" s="89"/>
      <c r="T9" s="89"/>
      <c r="U9" s="87"/>
    </row>
    <row r="11" spans="1:21" ht="13.8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3.8" thickBot="1">
      <c r="A12" s="27" t="s">
        <v>91</v>
      </c>
      <c r="B12" s="12" t="s">
        <v>169</v>
      </c>
      <c r="C12" s="132" t="s">
        <v>170</v>
      </c>
      <c r="D12" s="133" t="s">
        <v>168</v>
      </c>
      <c r="E12" s="134">
        <v>45992</v>
      </c>
      <c r="F12" s="13">
        <v>45627</v>
      </c>
      <c r="G12" s="13">
        <v>45261</v>
      </c>
      <c r="H12" s="13">
        <v>44896</v>
      </c>
      <c r="I12" s="13">
        <v>44531</v>
      </c>
      <c r="J12" s="13">
        <v>44166</v>
      </c>
      <c r="K12" s="107">
        <v>43800</v>
      </c>
      <c r="L12" s="13">
        <v>43435</v>
      </c>
      <c r="M12" s="13">
        <v>43070</v>
      </c>
      <c r="N12" s="13">
        <v>42705</v>
      </c>
      <c r="O12" s="13">
        <f>O1</f>
        <v>42339</v>
      </c>
      <c r="P12" s="13">
        <f>P1</f>
        <v>41974</v>
      </c>
      <c r="Q12" s="13">
        <v>41609</v>
      </c>
      <c r="R12" s="13">
        <v>41244</v>
      </c>
      <c r="S12" s="13">
        <v>40878</v>
      </c>
      <c r="T12" s="13">
        <v>40513</v>
      </c>
      <c r="U12" s="14">
        <v>40148</v>
      </c>
    </row>
    <row r="13" spans="1:21" ht="13.8" thickBot="1">
      <c r="A13" s="29" t="s">
        <v>147</v>
      </c>
      <c r="B13" s="30" t="str">
        <f t="shared" ref="B13:B14" si="1">IFERROR(((E13-F13)/F13),"")</f>
        <v/>
      </c>
      <c r="C13" s="189"/>
      <c r="D13" s="31">
        <v>0</v>
      </c>
      <c r="E13" s="125"/>
      <c r="F13" s="52"/>
      <c r="G13" s="52"/>
      <c r="H13" s="52"/>
      <c r="I13" s="52"/>
      <c r="J13" s="52"/>
      <c r="K13" s="52"/>
      <c r="L13" s="52"/>
      <c r="M13" s="52"/>
      <c r="N13" s="31"/>
      <c r="O13" s="31"/>
      <c r="P13" s="31"/>
      <c r="Q13" s="31"/>
      <c r="R13" s="31"/>
      <c r="S13" s="31"/>
      <c r="T13" s="31"/>
      <c r="U13" s="32"/>
    </row>
    <row r="14" spans="1:21" ht="13.8" thickBot="1">
      <c r="A14" s="27" t="s">
        <v>92</v>
      </c>
      <c r="B14" s="38" t="str">
        <f t="shared" si="1"/>
        <v/>
      </c>
      <c r="C14" s="136"/>
      <c r="D14" s="39">
        <v>0</v>
      </c>
      <c r="E14" s="124"/>
      <c r="F14" s="93"/>
      <c r="G14" s="93"/>
      <c r="H14" s="93"/>
      <c r="I14" s="93"/>
      <c r="J14" s="93"/>
      <c r="K14" s="93"/>
      <c r="L14" s="93"/>
      <c r="M14" s="93"/>
      <c r="N14" s="39"/>
      <c r="O14" s="39"/>
      <c r="P14" s="39"/>
      <c r="Q14" s="39"/>
      <c r="R14" s="39"/>
      <c r="S14" s="39"/>
      <c r="T14" s="39"/>
      <c r="U14" s="40"/>
    </row>
    <row r="15" spans="1:21">
      <c r="B15" s="3" t="s">
        <v>179</v>
      </c>
    </row>
  </sheetData>
  <conditionalFormatting sqref="E1">
    <cfRule type="expression" dxfId="9" priority="2">
      <formula>ISBLANK(XFD1)=FALSE</formula>
    </cfRule>
  </conditionalFormatting>
  <conditionalFormatting sqref="E12">
    <cfRule type="expression" dxfId="8" priority="1">
      <formula>ISBLANK(XFD12)=FALSE</formula>
    </cfRule>
  </conditionalFormatting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8"/>
  <sheetViews>
    <sheetView zoomScaleNormal="100" workbookViewId="0">
      <selection activeCell="E12" sqref="E12"/>
    </sheetView>
  </sheetViews>
  <sheetFormatPr defaultColWidth="9.109375" defaultRowHeight="13.2"/>
  <cols>
    <col min="1" max="1" width="29.33203125" style="26" customWidth="1"/>
    <col min="2" max="2" width="10.6640625" style="26" customWidth="1"/>
    <col min="3" max="3" width="11.44140625" style="26" bestFit="1" customWidth="1"/>
    <col min="4" max="4" width="11.6640625" style="26" bestFit="1" customWidth="1"/>
    <col min="5" max="11" width="11.6640625" style="26" customWidth="1"/>
    <col min="12" max="12" width="11.44140625" style="26" bestFit="1" customWidth="1"/>
    <col min="13" max="13" width="11.44140625" style="26" customWidth="1"/>
    <col min="14" max="15" width="10.109375" style="26" bestFit="1" customWidth="1"/>
    <col min="16" max="16384" width="9.109375" style="26"/>
  </cols>
  <sheetData>
    <row r="1" spans="1:19" ht="13.8" thickBot="1">
      <c r="A1" s="27" t="s">
        <v>91</v>
      </c>
      <c r="B1" s="12" t="s">
        <v>167</v>
      </c>
      <c r="C1" s="98" t="s">
        <v>168</v>
      </c>
      <c r="D1" s="42" t="s">
        <v>165</v>
      </c>
      <c r="E1" s="42"/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44">
        <v>42339</v>
      </c>
    </row>
    <row r="2" spans="1:19">
      <c r="A2" s="80" t="s">
        <v>10</v>
      </c>
      <c r="B2" s="49" t="str">
        <f t="shared" ref="B2:B11" si="0">IFERROR((F2/G2-1), "")</f>
        <v/>
      </c>
      <c r="C2" s="104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1:19">
      <c r="A3" s="80" t="s">
        <v>59</v>
      </c>
      <c r="B3" s="49" t="str">
        <f t="shared" si="0"/>
        <v/>
      </c>
      <c r="C3" s="104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  <c r="P3" s="31"/>
      <c r="Q3" s="31"/>
      <c r="R3" s="31"/>
      <c r="S3" s="31"/>
    </row>
    <row r="4" spans="1:19">
      <c r="A4" s="80" t="s">
        <v>11</v>
      </c>
      <c r="B4" s="49" t="str">
        <f t="shared" si="0"/>
        <v/>
      </c>
      <c r="C4" s="104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31"/>
      <c r="Q4" s="31"/>
      <c r="R4" s="31"/>
      <c r="S4" s="31"/>
    </row>
    <row r="5" spans="1:19">
      <c r="A5" s="80" t="s">
        <v>8</v>
      </c>
      <c r="B5" s="49" t="str">
        <f t="shared" si="0"/>
        <v/>
      </c>
      <c r="C5" s="104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2"/>
    </row>
    <row r="6" spans="1:19">
      <c r="A6" s="80" t="s">
        <v>2</v>
      </c>
      <c r="B6" s="49" t="str">
        <f t="shared" si="0"/>
        <v/>
      </c>
      <c r="C6" s="104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</row>
    <row r="7" spans="1:19">
      <c r="A7" s="80" t="s">
        <v>9</v>
      </c>
      <c r="B7" s="49" t="str">
        <f t="shared" si="0"/>
        <v/>
      </c>
      <c r="C7" s="104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spans="1:19">
      <c r="A8" s="80" t="s">
        <v>25</v>
      </c>
      <c r="B8" s="49" t="str">
        <f t="shared" si="0"/>
        <v/>
      </c>
      <c r="C8" s="104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spans="1:19">
      <c r="A9" s="80" t="s">
        <v>12</v>
      </c>
      <c r="B9" s="49" t="str">
        <f t="shared" si="0"/>
        <v/>
      </c>
      <c r="C9" s="104"/>
      <c r="D9" s="31"/>
      <c r="E9" s="31"/>
      <c r="F9" s="31"/>
      <c r="G9" s="31"/>
      <c r="H9" s="31"/>
      <c r="I9" s="31"/>
      <c r="J9" s="31"/>
      <c r="K9" s="31"/>
      <c r="L9" s="64"/>
      <c r="M9" s="64"/>
      <c r="N9" s="31"/>
      <c r="O9" s="114"/>
    </row>
    <row r="10" spans="1:19" ht="13.8" thickBot="1">
      <c r="A10" s="80" t="s">
        <v>5</v>
      </c>
      <c r="B10" s="49" t="str">
        <f t="shared" si="0"/>
        <v/>
      </c>
      <c r="C10" s="104"/>
      <c r="D10" s="31"/>
      <c r="E10" s="31"/>
      <c r="F10" s="31"/>
      <c r="G10" s="31"/>
      <c r="H10" s="31"/>
      <c r="I10" s="31"/>
      <c r="J10" s="31"/>
      <c r="K10" s="31"/>
      <c r="L10" s="64"/>
      <c r="M10" s="64"/>
      <c r="N10" s="31"/>
      <c r="O10" s="114"/>
    </row>
    <row r="11" spans="1:19" ht="13.8" thickBot="1">
      <c r="A11" s="110" t="s">
        <v>92</v>
      </c>
      <c r="B11" s="38" t="str">
        <f t="shared" si="0"/>
        <v/>
      </c>
      <c r="C11" s="105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</row>
    <row r="12" spans="1:19">
      <c r="B12" s="52"/>
      <c r="C12" s="52"/>
      <c r="D12" s="52"/>
      <c r="E12" s="52"/>
      <c r="F12" s="52"/>
      <c r="G12" s="52"/>
      <c r="H12" s="52"/>
      <c r="I12" s="52"/>
      <c r="J12" s="52"/>
      <c r="K12" s="52"/>
      <c r="N12" s="52"/>
    </row>
    <row r="13" spans="1:19" ht="13.8" thickBot="1">
      <c r="B13" s="52"/>
      <c r="C13" s="52"/>
      <c r="D13" s="52"/>
      <c r="E13" s="52"/>
      <c r="F13" s="52"/>
      <c r="G13" s="52"/>
      <c r="H13" s="52"/>
      <c r="I13" s="52"/>
      <c r="J13" s="52"/>
      <c r="K13" s="52"/>
      <c r="N13" s="52"/>
    </row>
    <row r="14" spans="1:19" ht="13.8" thickBot="1">
      <c r="A14" s="27" t="s">
        <v>91</v>
      </c>
      <c r="B14" s="12" t="s">
        <v>167</v>
      </c>
      <c r="C14" s="98" t="s">
        <v>168</v>
      </c>
      <c r="D14" s="42" t="s">
        <v>165</v>
      </c>
      <c r="E14" s="42"/>
      <c r="F14" s="13">
        <v>45627</v>
      </c>
      <c r="G14" s="13">
        <v>45261</v>
      </c>
      <c r="H14" s="13">
        <v>44896</v>
      </c>
      <c r="I14" s="13">
        <v>44531</v>
      </c>
      <c r="J14" s="13">
        <v>44166</v>
      </c>
      <c r="K14" s="13">
        <v>43800</v>
      </c>
      <c r="L14" s="13">
        <v>43435</v>
      </c>
      <c r="M14" s="13">
        <v>43070</v>
      </c>
      <c r="N14" s="13">
        <v>42705</v>
      </c>
      <c r="O14" s="44">
        <v>42339</v>
      </c>
    </row>
    <row r="15" spans="1:19">
      <c r="A15" s="80" t="s">
        <v>6</v>
      </c>
      <c r="B15" s="49" t="str">
        <f>IFERROR((F15/G15-1), "")</f>
        <v/>
      </c>
      <c r="C15" s="10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2"/>
    </row>
    <row r="16" spans="1:19">
      <c r="A16" s="80" t="s">
        <v>122</v>
      </c>
      <c r="B16" s="49" t="str">
        <f>IFERROR((F16/G16-1), "")</f>
        <v/>
      </c>
      <c r="C16" s="10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</row>
    <row r="17" spans="1:16" ht="13.8" thickBot="1">
      <c r="A17" s="80" t="s">
        <v>5</v>
      </c>
      <c r="B17" s="49" t="str">
        <f>IFERROR((F17/G17-1), "")</f>
        <v/>
      </c>
      <c r="C17" s="104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P17" s="25"/>
    </row>
    <row r="18" spans="1:16" ht="13.8" thickBot="1">
      <c r="A18" s="11" t="s">
        <v>92</v>
      </c>
      <c r="B18" s="69" t="str">
        <f>IFERROR((F18/G18-1), "")</f>
        <v/>
      </c>
      <c r="C18" s="113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15"/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7"/>
  <sheetViews>
    <sheetView workbookViewId="0"/>
  </sheetViews>
  <sheetFormatPr defaultColWidth="9.109375" defaultRowHeight="13.2"/>
  <cols>
    <col min="1" max="1" width="18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1" width="11.44140625" style="26" customWidth="1"/>
    <col min="12" max="13" width="11.109375" style="26" customWidth="1"/>
    <col min="14" max="14" width="10.6640625" style="26" customWidth="1"/>
    <col min="15" max="24" width="10.109375" style="26" bestFit="1" customWidth="1"/>
    <col min="25" max="16384" width="9.109375" style="26"/>
  </cols>
  <sheetData>
    <row r="1" spans="1:24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28">
        <v>39783</v>
      </c>
      <c r="W1" s="28">
        <v>39417</v>
      </c>
      <c r="X1" s="44">
        <v>39052</v>
      </c>
    </row>
    <row r="2" spans="1:24">
      <c r="A2" s="9" t="s">
        <v>125</v>
      </c>
      <c r="B2" s="15">
        <f t="shared" ref="B2:B8" si="0">IFERROR(((E2-F2)/F2),"")</f>
        <v>-8.1044966641952682E-2</v>
      </c>
      <c r="C2" s="135">
        <v>3368</v>
      </c>
      <c r="D2" s="1">
        <v>3306.3536187057107</v>
      </c>
      <c r="E2" s="120">
        <v>22080</v>
      </c>
      <c r="F2" s="31">
        <v>24027.290997379077</v>
      </c>
      <c r="G2" s="31">
        <v>17806.90735584747</v>
      </c>
      <c r="H2" s="31">
        <v>19843.898150227265</v>
      </c>
      <c r="I2" s="31">
        <v>21620.181279583096</v>
      </c>
      <c r="J2" s="31">
        <v>19820.965164330286</v>
      </c>
      <c r="K2" s="31">
        <v>27594.059481063272</v>
      </c>
      <c r="L2" s="31">
        <v>26806.301271697524</v>
      </c>
      <c r="M2" s="31">
        <v>18963</v>
      </c>
      <c r="N2" s="31">
        <v>23980.13233051719</v>
      </c>
      <c r="O2" s="31">
        <v>21091.563978834696</v>
      </c>
      <c r="P2" s="31">
        <v>19367.057742851477</v>
      </c>
      <c r="Q2" s="31">
        <v>18251.537888850202</v>
      </c>
      <c r="R2" s="31">
        <v>11399</v>
      </c>
      <c r="S2" s="31">
        <v>16300</v>
      </c>
      <c r="T2" s="31">
        <v>16964</v>
      </c>
      <c r="U2" s="31">
        <v>12154</v>
      </c>
      <c r="V2" s="31">
        <v>16054</v>
      </c>
      <c r="W2" s="31">
        <v>17111</v>
      </c>
      <c r="X2" s="32">
        <v>8901</v>
      </c>
    </row>
    <row r="3" spans="1:24">
      <c r="A3" s="9" t="s">
        <v>126</v>
      </c>
      <c r="B3" s="15">
        <f t="shared" si="0"/>
        <v>8.6131692762402318E-2</v>
      </c>
      <c r="C3" s="135">
        <v>-6812</v>
      </c>
      <c r="D3" s="1">
        <v>-9863.6589228926623</v>
      </c>
      <c r="E3" s="120">
        <v>12903</v>
      </c>
      <c r="F3" s="31">
        <v>11879.774879953353</v>
      </c>
      <c r="G3" s="31">
        <v>12728.653276086794</v>
      </c>
      <c r="H3" s="31">
        <v>16254.126321271571</v>
      </c>
      <c r="I3" s="31">
        <v>22903.94016882826</v>
      </c>
      <c r="J3" s="31">
        <v>17775.04632320517</v>
      </c>
      <c r="K3" s="31">
        <v>21673.397933309396</v>
      </c>
      <c r="L3" s="31">
        <v>14863.066212878861</v>
      </c>
      <c r="M3" s="31">
        <v>13943</v>
      </c>
      <c r="N3" s="31">
        <v>19024.393281473887</v>
      </c>
      <c r="O3" s="31">
        <v>12068.416704805642</v>
      </c>
      <c r="P3" s="31">
        <v>14446.001697970456</v>
      </c>
      <c r="Q3" s="31">
        <v>8142.9426604443006</v>
      </c>
      <c r="R3" s="31">
        <v>6545</v>
      </c>
      <c r="S3" s="31">
        <v>11990</v>
      </c>
      <c r="T3" s="31">
        <v>13792</v>
      </c>
      <c r="U3" s="31">
        <v>9512</v>
      </c>
      <c r="V3" s="31">
        <v>13255</v>
      </c>
      <c r="W3" s="31">
        <v>17419</v>
      </c>
      <c r="X3" s="32">
        <v>6713</v>
      </c>
    </row>
    <row r="4" spans="1:24">
      <c r="A4" s="9" t="s">
        <v>127</v>
      </c>
      <c r="B4" s="15">
        <f t="shared" si="0"/>
        <v>-8.7494000055388155E-2</v>
      </c>
      <c r="C4" s="135">
        <v>-11414</v>
      </c>
      <c r="D4" s="1">
        <v>-10795.016060323236</v>
      </c>
      <c r="E4" s="120">
        <v>112906</v>
      </c>
      <c r="F4" s="31">
        <v>123731.78916834878</v>
      </c>
      <c r="G4" s="31">
        <v>117559.07418380084</v>
      </c>
      <c r="H4" s="31">
        <v>98847.784736627262</v>
      </c>
      <c r="I4" s="31">
        <v>145669.5831636677</v>
      </c>
      <c r="J4" s="31">
        <v>96231.296126849964</v>
      </c>
      <c r="K4" s="31">
        <v>178437.2539928956</v>
      </c>
      <c r="L4" s="31">
        <v>128115.07014459818</v>
      </c>
      <c r="M4" s="31">
        <v>129740</v>
      </c>
      <c r="N4" s="31">
        <v>156729.04370508128</v>
      </c>
      <c r="O4" s="31">
        <v>121790.56843934231</v>
      </c>
      <c r="P4" s="31">
        <v>149574.31837674047</v>
      </c>
      <c r="Q4" s="31">
        <v>129405.15906553823</v>
      </c>
      <c r="R4" s="31">
        <v>99596</v>
      </c>
      <c r="S4" s="31">
        <v>145494</v>
      </c>
      <c r="T4" s="31">
        <v>143074</v>
      </c>
      <c r="U4" s="31">
        <v>112319</v>
      </c>
      <c r="V4" s="31">
        <v>140259</v>
      </c>
      <c r="W4" s="31">
        <v>124954</v>
      </c>
      <c r="X4" s="32">
        <v>120281</v>
      </c>
    </row>
    <row r="5" spans="1:24">
      <c r="A5" s="9" t="s">
        <v>16</v>
      </c>
      <c r="B5" s="15">
        <f t="shared" si="0"/>
        <v>0.13714732265311258</v>
      </c>
      <c r="C5" s="135">
        <v>833</v>
      </c>
      <c r="D5" s="1">
        <v>-389.89561977608901</v>
      </c>
      <c r="E5" s="120">
        <v>27839</v>
      </c>
      <c r="F5" s="31">
        <v>24481.436525786292</v>
      </c>
      <c r="G5" s="31">
        <v>22464.407475185351</v>
      </c>
      <c r="H5" s="31">
        <v>17214.293764776805</v>
      </c>
      <c r="I5" s="31">
        <v>28303.605786594846</v>
      </c>
      <c r="J5" s="31">
        <v>17415.944983597343</v>
      </c>
      <c r="K5" s="31">
        <v>26990.137924779632</v>
      </c>
      <c r="L5" s="31">
        <v>22689.884267706868</v>
      </c>
      <c r="M5" s="31">
        <v>21873</v>
      </c>
      <c r="N5" s="31">
        <v>20887.990238155246</v>
      </c>
      <c r="O5" s="31">
        <v>18453.939691443353</v>
      </c>
      <c r="P5" s="31">
        <v>16680.088608967319</v>
      </c>
      <c r="Q5" s="31">
        <v>16809.586747869031</v>
      </c>
      <c r="R5" s="31">
        <v>10204</v>
      </c>
      <c r="S5" s="31">
        <v>11788</v>
      </c>
      <c r="T5" s="31">
        <v>9070</v>
      </c>
      <c r="U5" s="31">
        <v>12329</v>
      </c>
      <c r="V5" s="31">
        <v>9746</v>
      </c>
      <c r="W5" s="31">
        <v>7898</v>
      </c>
      <c r="X5" s="32">
        <v>6124</v>
      </c>
    </row>
    <row r="6" spans="1:24">
      <c r="A6" s="9" t="s">
        <v>18</v>
      </c>
      <c r="B6" s="15">
        <f t="shared" si="0"/>
        <v>0.41738507576803413</v>
      </c>
      <c r="C6" s="135">
        <v>-1235</v>
      </c>
      <c r="D6" s="1">
        <v>-857.74056099642621</v>
      </c>
      <c r="E6" s="120">
        <v>16670</v>
      </c>
      <c r="F6" s="31">
        <v>11761.094627701705</v>
      </c>
      <c r="G6" s="31">
        <v>12856.945345728149</v>
      </c>
      <c r="H6" s="31">
        <v>10942.046419945158</v>
      </c>
      <c r="I6" s="31">
        <v>17967.938241427502</v>
      </c>
      <c r="J6" s="31">
        <v>11842.796550250374</v>
      </c>
      <c r="K6" s="31">
        <v>19745.011511594101</v>
      </c>
      <c r="L6" s="31">
        <v>17644.687647089344</v>
      </c>
      <c r="M6" s="31">
        <v>16224</v>
      </c>
      <c r="N6" s="31">
        <v>16862.203924092486</v>
      </c>
      <c r="O6" s="64">
        <v>16693.184859854653</v>
      </c>
      <c r="P6" s="64">
        <v>15730.251222251934</v>
      </c>
      <c r="Q6" s="64">
        <v>13443.717007729632</v>
      </c>
      <c r="R6" s="64">
        <v>9836</v>
      </c>
      <c r="S6" s="64">
        <v>15718</v>
      </c>
      <c r="T6" s="64">
        <v>17463</v>
      </c>
      <c r="U6" s="64">
        <v>14600</v>
      </c>
      <c r="V6" s="64">
        <v>28559</v>
      </c>
      <c r="W6" s="31">
        <v>23082</v>
      </c>
      <c r="X6" s="32">
        <v>22290</v>
      </c>
    </row>
    <row r="7" spans="1:24" ht="13.8" thickBot="1">
      <c r="A7" s="10" t="s">
        <v>57</v>
      </c>
      <c r="B7" s="15">
        <f t="shared" si="0"/>
        <v>0.10541159089104675</v>
      </c>
      <c r="C7" s="135">
        <v>12922</v>
      </c>
      <c r="D7" s="1">
        <v>10772.554976520201</v>
      </c>
      <c r="E7" s="120">
        <v>32023</v>
      </c>
      <c r="F7" s="35">
        <v>28969.3</v>
      </c>
      <c r="G7" s="35">
        <v>23760.92</v>
      </c>
      <c r="H7" s="35">
        <v>20271.72</v>
      </c>
      <c r="I7" s="35">
        <v>22317.42</v>
      </c>
      <c r="J7" s="35">
        <v>19652.52</v>
      </c>
      <c r="K7" s="35">
        <v>22723.52</v>
      </c>
      <c r="L7" s="35">
        <v>15777.255000000001</v>
      </c>
      <c r="M7" s="35">
        <v>13639</v>
      </c>
      <c r="N7" s="35">
        <v>11304</v>
      </c>
      <c r="O7" s="65">
        <v>10992.6</v>
      </c>
      <c r="P7" s="65">
        <v>11292.54</v>
      </c>
      <c r="Q7" s="65">
        <v>9866.527</v>
      </c>
      <c r="R7" s="65">
        <v>8275</v>
      </c>
      <c r="S7" s="65">
        <v>11292</v>
      </c>
      <c r="T7" s="65">
        <v>8820</v>
      </c>
      <c r="U7" s="65">
        <v>7850</v>
      </c>
      <c r="V7" s="65">
        <v>9242</v>
      </c>
      <c r="W7" s="35">
        <v>7696</v>
      </c>
      <c r="X7" s="36">
        <v>6984</v>
      </c>
    </row>
    <row r="8" spans="1:24" ht="13.8" thickBot="1">
      <c r="A8" s="11" t="s">
        <v>21</v>
      </c>
      <c r="B8" s="94">
        <f t="shared" si="0"/>
        <v>-1.9109846024156192E-3</v>
      </c>
      <c r="C8" s="136">
        <v>-2338</v>
      </c>
      <c r="D8" s="89">
        <v>-7827.4025687625399</v>
      </c>
      <c r="E8" s="137">
        <f t="shared" ref="E8" si="1">SUM(E2:E7)</f>
        <v>224421</v>
      </c>
      <c r="F8" s="50">
        <f t="shared" ref="F8:K8" si="2">SUM(F2:F7)</f>
        <v>224850.6861991692</v>
      </c>
      <c r="G8" s="50">
        <f t="shared" si="2"/>
        <v>207176.90763664857</v>
      </c>
      <c r="H8" s="50">
        <f t="shared" si="2"/>
        <v>183373.86939284808</v>
      </c>
      <c r="I8" s="50">
        <f t="shared" si="2"/>
        <v>258782.66864010144</v>
      </c>
      <c r="J8" s="50">
        <f t="shared" si="2"/>
        <v>182738.56914823313</v>
      </c>
      <c r="K8" s="50">
        <f t="shared" si="2"/>
        <v>297163.38084364199</v>
      </c>
      <c r="L8" s="50">
        <v>225896</v>
      </c>
      <c r="M8" s="50">
        <v>214382</v>
      </c>
      <c r="N8" s="50">
        <f>SUM(N2:N7)</f>
        <v>248787.76347932007</v>
      </c>
      <c r="O8" s="50">
        <f>SUM(O2:O7)</f>
        <v>201090.27367428067</v>
      </c>
      <c r="P8" s="50">
        <f>SUM(P2:P7)</f>
        <v>227090.25764878167</v>
      </c>
      <c r="Q8" s="50">
        <f>SUM(Q2:Q7)</f>
        <v>195919.4703704314</v>
      </c>
      <c r="R8" s="50">
        <f>SUM(R2:R7)</f>
        <v>145855</v>
      </c>
      <c r="S8" s="50">
        <f t="shared" ref="S8:X8" si="3">SUM(S2:S7)</f>
        <v>212582</v>
      </c>
      <c r="T8" s="50">
        <f t="shared" si="3"/>
        <v>209183</v>
      </c>
      <c r="U8" s="50">
        <f t="shared" si="3"/>
        <v>168764</v>
      </c>
      <c r="V8" s="50">
        <f t="shared" si="3"/>
        <v>217115</v>
      </c>
      <c r="W8" s="50">
        <f t="shared" si="3"/>
        <v>198160</v>
      </c>
      <c r="X8" s="51">
        <f t="shared" si="3"/>
        <v>171293</v>
      </c>
    </row>
    <row r="9" spans="1:24">
      <c r="B9" s="22"/>
      <c r="C9" s="22"/>
      <c r="D9" s="22"/>
      <c r="E9" s="22"/>
      <c r="F9" s="52"/>
      <c r="G9" s="52"/>
      <c r="H9" s="52"/>
      <c r="I9" s="52"/>
      <c r="J9" s="52"/>
      <c r="K9" s="52"/>
      <c r="L9" s="52"/>
      <c r="M9" s="52"/>
      <c r="N9" s="52"/>
    </row>
    <row r="10" spans="1:24" ht="13.8" thickBot="1">
      <c r="B10" s="22"/>
      <c r="C10" s="22"/>
      <c r="D10" s="22"/>
      <c r="E10" s="22"/>
      <c r="F10" s="52"/>
      <c r="G10" s="52"/>
      <c r="H10" s="52"/>
      <c r="I10" s="52"/>
      <c r="J10" s="52"/>
      <c r="K10" s="52"/>
      <c r="L10" s="52"/>
      <c r="M10" s="52"/>
      <c r="N10" s="52"/>
    </row>
    <row r="11" spans="1:24" ht="13.8" thickBot="1">
      <c r="A11" s="11" t="s">
        <v>23</v>
      </c>
      <c r="B11" s="12" t="s">
        <v>169</v>
      </c>
      <c r="C11" s="132" t="s">
        <v>170</v>
      </c>
      <c r="D11" s="133" t="s">
        <v>168</v>
      </c>
      <c r="E11" s="134">
        <v>45992</v>
      </c>
      <c r="F11" s="13">
        <v>45627</v>
      </c>
      <c r="G11" s="13">
        <v>45261</v>
      </c>
      <c r="H11" s="13">
        <v>44896</v>
      </c>
      <c r="I11" s="13">
        <v>44531</v>
      </c>
      <c r="J11" s="13">
        <v>44166</v>
      </c>
      <c r="K11" s="13">
        <v>43800</v>
      </c>
      <c r="L11" s="13">
        <v>43435</v>
      </c>
      <c r="M11" s="13">
        <v>43070</v>
      </c>
      <c r="N11" s="13">
        <v>42705</v>
      </c>
      <c r="O11" s="28">
        <f>O1</f>
        <v>42339</v>
      </c>
      <c r="P11" s="28">
        <f>P1</f>
        <v>41974</v>
      </c>
      <c r="Q11" s="28">
        <v>41609</v>
      </c>
      <c r="R11" s="28">
        <v>41244</v>
      </c>
      <c r="S11" s="28">
        <v>40878</v>
      </c>
      <c r="T11" s="28">
        <v>40513</v>
      </c>
      <c r="U11" s="28">
        <v>40148</v>
      </c>
      <c r="V11" s="28">
        <v>39783</v>
      </c>
      <c r="W11" s="28">
        <v>39417</v>
      </c>
      <c r="X11" s="44">
        <v>39052</v>
      </c>
    </row>
    <row r="12" spans="1:24">
      <c r="A12" s="9" t="s">
        <v>36</v>
      </c>
      <c r="B12" s="15">
        <f t="shared" ref="B12:B17" si="4">IFERROR(((E12-F12)/F12),"")</f>
        <v>0.61022356666053246</v>
      </c>
      <c r="C12" s="135">
        <v>-1026</v>
      </c>
      <c r="D12" s="1">
        <v>-441.48757497742758</v>
      </c>
      <c r="E12" s="120">
        <v>1590</v>
      </c>
      <c r="F12" s="31">
        <v>987.44052249683909</v>
      </c>
      <c r="G12" s="31">
        <v>1307.1817497566828</v>
      </c>
      <c r="H12" s="31">
        <v>1762.8958145679971</v>
      </c>
      <c r="I12" s="31">
        <v>1976.122992945227</v>
      </c>
      <c r="J12" s="31">
        <v>4105.9411879520385</v>
      </c>
      <c r="K12" s="31">
        <v>5554.0069952975846</v>
      </c>
      <c r="L12" s="31">
        <v>3760.4451204598063</v>
      </c>
      <c r="M12" s="31">
        <v>5055</v>
      </c>
      <c r="N12" s="31">
        <v>5129.3937147215702</v>
      </c>
      <c r="O12" s="31">
        <v>3983.7321032926498</v>
      </c>
      <c r="P12" s="31">
        <v>4652</v>
      </c>
      <c r="Q12" s="31">
        <v>8768.2067935227915</v>
      </c>
      <c r="R12" s="31">
        <v>4190</v>
      </c>
      <c r="S12" s="31">
        <v>9131</v>
      </c>
      <c r="T12" s="31">
        <v>7869</v>
      </c>
      <c r="U12" s="31">
        <v>7480</v>
      </c>
      <c r="V12" s="31">
        <v>6250</v>
      </c>
      <c r="W12" s="31">
        <v>8339</v>
      </c>
      <c r="X12" s="32">
        <v>9919</v>
      </c>
    </row>
    <row r="13" spans="1:24">
      <c r="A13" s="9" t="s">
        <v>37</v>
      </c>
      <c r="B13" s="15">
        <f t="shared" si="4"/>
        <v>0.11278018543137626</v>
      </c>
      <c r="C13" s="135">
        <v>-833</v>
      </c>
      <c r="D13" s="1">
        <v>-655.29823358311614</v>
      </c>
      <c r="E13" s="120">
        <v>3725</v>
      </c>
      <c r="F13" s="31">
        <v>3347.4715390946508</v>
      </c>
      <c r="G13" s="31">
        <v>2959.8792187082263</v>
      </c>
      <c r="H13" s="31">
        <v>3407.5216258359678</v>
      </c>
      <c r="I13" s="31">
        <v>2950.3223091349842</v>
      </c>
      <c r="J13" s="31">
        <v>7727.3158637739771</v>
      </c>
      <c r="K13" s="31">
        <v>6609.2170484000571</v>
      </c>
      <c r="L13" s="31">
        <v>8061.7302961404994</v>
      </c>
      <c r="M13" s="31">
        <v>12358</v>
      </c>
      <c r="N13" s="31">
        <v>13998.002729425983</v>
      </c>
      <c r="O13" s="31">
        <v>9967.9743692551929</v>
      </c>
      <c r="P13" s="31">
        <v>14886</v>
      </c>
      <c r="Q13" s="31">
        <v>15053.32890977768</v>
      </c>
      <c r="R13" s="31">
        <v>11631</v>
      </c>
      <c r="S13" s="31">
        <v>19399</v>
      </c>
      <c r="T13" s="31">
        <v>25304</v>
      </c>
      <c r="U13" s="31">
        <v>23226</v>
      </c>
      <c r="V13" s="31">
        <v>17519</v>
      </c>
      <c r="W13" s="31">
        <v>36535</v>
      </c>
      <c r="X13" s="32">
        <v>33634</v>
      </c>
    </row>
    <row r="14" spans="1:24">
      <c r="A14" s="9" t="s">
        <v>6</v>
      </c>
      <c r="B14" s="15">
        <f t="shared" si="4"/>
        <v>0.336331215248108</v>
      </c>
      <c r="C14" s="135">
        <v>-4185</v>
      </c>
      <c r="D14" s="1">
        <v>-4325.44644240876</v>
      </c>
      <c r="E14" s="120">
        <v>36664</v>
      </c>
      <c r="F14" s="31">
        <v>27436.311882599279</v>
      </c>
      <c r="G14" s="31">
        <v>48038.209753971059</v>
      </c>
      <c r="H14" s="31">
        <v>38339.062428119316</v>
      </c>
      <c r="I14" s="31">
        <v>57454.848356210416</v>
      </c>
      <c r="J14" s="31">
        <v>53875.756077864389</v>
      </c>
      <c r="K14" s="31">
        <v>61045.936937998616</v>
      </c>
      <c r="L14" s="31">
        <v>54063.204243542248</v>
      </c>
      <c r="M14" s="31">
        <v>63233</v>
      </c>
      <c r="N14" s="31">
        <v>54244.45931730084</v>
      </c>
      <c r="O14" s="31">
        <v>50763.457525502439</v>
      </c>
      <c r="P14" s="31">
        <v>70184</v>
      </c>
      <c r="Q14" s="31">
        <v>79212.417099036829</v>
      </c>
      <c r="R14" s="31">
        <v>49318</v>
      </c>
      <c r="S14" s="31">
        <v>85133</v>
      </c>
      <c r="T14" s="31">
        <v>81939</v>
      </c>
      <c r="U14" s="31">
        <v>51541</v>
      </c>
      <c r="V14" s="31">
        <v>68293</v>
      </c>
      <c r="W14" s="31">
        <v>47416</v>
      </c>
      <c r="X14" s="32">
        <v>64099</v>
      </c>
    </row>
    <row r="15" spans="1:24">
      <c r="A15" s="9" t="s">
        <v>128</v>
      </c>
      <c r="B15" s="15">
        <f t="shared" si="4"/>
        <v>4.2731205898108282</v>
      </c>
      <c r="C15" s="135">
        <v>-1536</v>
      </c>
      <c r="D15" s="1">
        <v>-2414.721665623701</v>
      </c>
      <c r="E15" s="120">
        <v>2432</v>
      </c>
      <c r="F15" s="31">
        <v>461.20697575157243</v>
      </c>
      <c r="G15" s="31">
        <v>772.31655673697594</v>
      </c>
      <c r="H15" s="31">
        <v>87.782541440721147</v>
      </c>
      <c r="I15" s="31">
        <v>61.687875031999376</v>
      </c>
      <c r="J15" s="31">
        <v>267.06733886906937</v>
      </c>
      <c r="K15" s="31">
        <v>271.52974882065035</v>
      </c>
      <c r="L15" s="31">
        <v>528.37223282675279</v>
      </c>
      <c r="M15" s="31">
        <v>0</v>
      </c>
      <c r="N15" s="31">
        <v>298.18988327771331</v>
      </c>
      <c r="O15" s="31">
        <v>67.108960458830268</v>
      </c>
      <c r="P15" s="31">
        <v>92</v>
      </c>
      <c r="Q15" s="31">
        <v>1086.949602544162</v>
      </c>
      <c r="R15" s="31">
        <v>0</v>
      </c>
      <c r="S15" s="31">
        <v>81</v>
      </c>
      <c r="T15" s="31">
        <v>37</v>
      </c>
      <c r="U15" s="31">
        <v>73</v>
      </c>
      <c r="V15" s="31">
        <v>183</v>
      </c>
      <c r="W15" s="31">
        <v>0</v>
      </c>
      <c r="X15" s="32">
        <v>0</v>
      </c>
    </row>
    <row r="16" spans="1:24" ht="13.8" thickBot="1">
      <c r="A16" s="9" t="s">
        <v>57</v>
      </c>
      <c r="B16" s="15">
        <f t="shared" si="4"/>
        <v>0.62377106053096687</v>
      </c>
      <c r="C16" s="135">
        <v>-6943</v>
      </c>
      <c r="D16" s="1">
        <v>-4860.809417213668</v>
      </c>
      <c r="E16" s="120">
        <v>5162</v>
      </c>
      <c r="F16" s="35">
        <v>3179.0195831622013</v>
      </c>
      <c r="G16" s="35">
        <v>2721.9822472078704</v>
      </c>
      <c r="H16" s="35">
        <v>2840.9522572306987</v>
      </c>
      <c r="I16" s="35">
        <v>2062.3661448770517</v>
      </c>
      <c r="J16" s="35">
        <v>4291.2464381118307</v>
      </c>
      <c r="K16" s="35">
        <v>5852.1376885930267</v>
      </c>
      <c r="L16" s="35">
        <v>5563.3263804258204</v>
      </c>
      <c r="M16" s="35">
        <v>5928</v>
      </c>
      <c r="N16" s="35">
        <v>6130.2767529041766</v>
      </c>
      <c r="O16" s="35">
        <v>5543.960882821053</v>
      </c>
      <c r="P16" s="35">
        <v>5878</v>
      </c>
      <c r="Q16" s="35">
        <v>7440.9813824359717</v>
      </c>
      <c r="R16" s="35">
        <v>3929</v>
      </c>
      <c r="S16" s="35">
        <v>12037</v>
      </c>
      <c r="T16" s="35">
        <v>7887</v>
      </c>
      <c r="U16" s="35">
        <v>5822</v>
      </c>
      <c r="V16" s="35">
        <v>7348</v>
      </c>
      <c r="W16" s="35">
        <v>11657</v>
      </c>
      <c r="X16" s="36">
        <v>13238</v>
      </c>
    </row>
    <row r="17" spans="1:24" ht="13.8" thickBot="1">
      <c r="A17" s="11" t="s">
        <v>21</v>
      </c>
      <c r="B17" s="94">
        <f t="shared" si="4"/>
        <v>0.39991441456638183</v>
      </c>
      <c r="C17" s="136">
        <v>-14523</v>
      </c>
      <c r="D17" s="89">
        <v>-12697.763333806666</v>
      </c>
      <c r="E17" s="137">
        <f t="shared" ref="E17" si="5">SUM(E12:E16)</f>
        <v>49573</v>
      </c>
      <c r="F17" s="50">
        <f t="shared" ref="F17:K17" si="6">SUM(F12:F16)</f>
        <v>35411.450503104541</v>
      </c>
      <c r="G17" s="50">
        <f t="shared" si="6"/>
        <v>55799.569526380816</v>
      </c>
      <c r="H17" s="50">
        <f t="shared" si="6"/>
        <v>46438.214667194698</v>
      </c>
      <c r="I17" s="50">
        <f t="shared" si="6"/>
        <v>64505.34767819968</v>
      </c>
      <c r="J17" s="50">
        <f t="shared" si="6"/>
        <v>70267.326906571296</v>
      </c>
      <c r="K17" s="50">
        <f t="shared" si="6"/>
        <v>79332.828419109937</v>
      </c>
      <c r="L17" s="50">
        <v>71976</v>
      </c>
      <c r="M17" s="50">
        <v>86574</v>
      </c>
      <c r="N17" s="50">
        <f>SUM(N12:N16)</f>
        <v>79800.322397630269</v>
      </c>
      <c r="O17" s="50">
        <f>SUM(O12:O16)</f>
        <v>70326.233841330162</v>
      </c>
      <c r="P17" s="50">
        <f>SUM(P12:P16)</f>
        <v>95692</v>
      </c>
      <c r="Q17" s="50">
        <f>SUM(Q12:Q16)</f>
        <v>111561.88378731743</v>
      </c>
      <c r="R17" s="50">
        <f>SUM(R12:R16)</f>
        <v>69068</v>
      </c>
      <c r="S17" s="50">
        <f t="shared" ref="S17:X17" si="7">SUM(S12:S16)</f>
        <v>125781</v>
      </c>
      <c r="T17" s="50">
        <f t="shared" si="7"/>
        <v>123036</v>
      </c>
      <c r="U17" s="50">
        <f t="shared" si="7"/>
        <v>88142</v>
      </c>
      <c r="V17" s="50">
        <f t="shared" si="7"/>
        <v>99593</v>
      </c>
      <c r="W17" s="50">
        <f t="shared" si="7"/>
        <v>103947</v>
      </c>
      <c r="X17" s="51">
        <f t="shared" si="7"/>
        <v>120890</v>
      </c>
    </row>
  </sheetData>
  <conditionalFormatting sqref="E1">
    <cfRule type="expression" dxfId="7" priority="2">
      <formula>ISBLANK(XFD1)=FALSE</formula>
    </cfRule>
  </conditionalFormatting>
  <conditionalFormatting sqref="E11">
    <cfRule type="expression" dxfId="6" priority="1">
      <formula>ISBLANK(XFD11)=FALSE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6"/>
  <sheetViews>
    <sheetView zoomScaleNormal="100" workbookViewId="0"/>
  </sheetViews>
  <sheetFormatPr defaultColWidth="9.109375" defaultRowHeight="13.2"/>
  <cols>
    <col min="1" max="1" width="21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1" width="11.44140625" style="26" customWidth="1"/>
    <col min="12" max="13" width="10.6640625" style="26" customWidth="1"/>
    <col min="14" max="24" width="10.109375" style="26" bestFit="1" customWidth="1"/>
    <col min="25" max="16384" width="9.109375" style="26"/>
  </cols>
  <sheetData>
    <row r="1" spans="1:24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28">
        <v>39783</v>
      </c>
      <c r="W1" s="28">
        <v>39417</v>
      </c>
      <c r="X1" s="44">
        <v>39052</v>
      </c>
    </row>
    <row r="2" spans="1:24">
      <c r="A2" s="9" t="s">
        <v>3</v>
      </c>
      <c r="B2" s="15">
        <f t="shared" ref="B2:B19" si="0">IFERROR(((E2-F2)/F2),"")</f>
        <v>-8.6935866983372925E-2</v>
      </c>
      <c r="C2" s="135">
        <v>-548</v>
      </c>
      <c r="D2" s="1">
        <v>-441</v>
      </c>
      <c r="E2" s="120">
        <v>1922</v>
      </c>
      <c r="F2" s="31">
        <v>2105</v>
      </c>
      <c r="G2" s="31">
        <v>651</v>
      </c>
      <c r="H2" s="31">
        <v>1905</v>
      </c>
      <c r="I2" s="31">
        <v>644</v>
      </c>
      <c r="J2" s="31">
        <v>900</v>
      </c>
      <c r="K2" s="31">
        <v>314</v>
      </c>
      <c r="L2" s="31">
        <v>1025</v>
      </c>
      <c r="M2" s="31">
        <v>27</v>
      </c>
      <c r="N2" s="31">
        <v>708</v>
      </c>
      <c r="O2" s="31">
        <v>353</v>
      </c>
      <c r="P2" s="31">
        <v>466</v>
      </c>
      <c r="Q2" s="31">
        <v>466</v>
      </c>
      <c r="R2" s="31">
        <v>472</v>
      </c>
      <c r="S2" s="31">
        <v>661</v>
      </c>
      <c r="T2" s="31">
        <v>648</v>
      </c>
      <c r="U2" s="31">
        <v>220</v>
      </c>
      <c r="V2" s="31">
        <v>1541</v>
      </c>
      <c r="W2" s="31">
        <v>1487</v>
      </c>
      <c r="X2" s="32">
        <v>970</v>
      </c>
    </row>
    <row r="3" spans="1:24">
      <c r="A3" s="9" t="s">
        <v>10</v>
      </c>
      <c r="B3" s="15">
        <f t="shared" si="0"/>
        <v>8.7710555167945774E-3</v>
      </c>
      <c r="C3" s="135">
        <v>-86</v>
      </c>
      <c r="D3" s="1">
        <v>730</v>
      </c>
      <c r="E3" s="120">
        <v>10121</v>
      </c>
      <c r="F3" s="31">
        <v>10033</v>
      </c>
      <c r="G3" s="31">
        <v>9101</v>
      </c>
      <c r="H3" s="31">
        <v>8954</v>
      </c>
      <c r="I3" s="31">
        <v>8648</v>
      </c>
      <c r="J3" s="31">
        <v>9064</v>
      </c>
      <c r="K3" s="31">
        <v>8521</v>
      </c>
      <c r="L3" s="31">
        <v>10107</v>
      </c>
      <c r="M3" s="31">
        <v>5303</v>
      </c>
      <c r="N3" s="31">
        <v>9217</v>
      </c>
      <c r="O3" s="31">
        <v>9661</v>
      </c>
      <c r="P3" s="31">
        <v>9134</v>
      </c>
      <c r="Q3" s="31">
        <v>9931</v>
      </c>
      <c r="R3" s="31">
        <v>9102</v>
      </c>
      <c r="S3" s="31">
        <v>9293</v>
      </c>
      <c r="T3" s="31">
        <v>8420</v>
      </c>
      <c r="U3" s="31">
        <v>8606</v>
      </c>
      <c r="V3" s="31">
        <v>6221</v>
      </c>
      <c r="W3" s="31">
        <v>6276</v>
      </c>
      <c r="X3" s="32">
        <v>5216</v>
      </c>
    </row>
    <row r="4" spans="1:24">
      <c r="A4" s="9" t="s">
        <v>4</v>
      </c>
      <c r="B4" s="15">
        <f t="shared" si="0"/>
        <v>-0.54761904761904767</v>
      </c>
      <c r="C4" s="135">
        <v>-349</v>
      </c>
      <c r="D4" s="1">
        <v>-199</v>
      </c>
      <c r="E4" s="120">
        <v>76</v>
      </c>
      <c r="F4" s="31">
        <v>168</v>
      </c>
      <c r="G4" s="31">
        <v>0</v>
      </c>
      <c r="H4" s="31">
        <v>183</v>
      </c>
      <c r="I4" s="31">
        <v>51</v>
      </c>
      <c r="J4" s="31">
        <v>0</v>
      </c>
      <c r="K4" s="31">
        <v>149</v>
      </c>
      <c r="L4" s="31">
        <v>336</v>
      </c>
      <c r="M4" s="31">
        <v>0</v>
      </c>
      <c r="N4" s="31">
        <v>78</v>
      </c>
      <c r="O4" s="31">
        <v>15</v>
      </c>
      <c r="P4" s="31">
        <v>0</v>
      </c>
      <c r="Q4" s="31">
        <v>19</v>
      </c>
      <c r="R4" s="31">
        <v>3</v>
      </c>
      <c r="S4" s="31">
        <v>334</v>
      </c>
      <c r="T4" s="31">
        <v>44</v>
      </c>
      <c r="U4" s="31">
        <v>55</v>
      </c>
      <c r="V4" s="31">
        <v>210</v>
      </c>
      <c r="W4" s="31">
        <v>295</v>
      </c>
      <c r="X4" s="32">
        <v>196</v>
      </c>
    </row>
    <row r="5" spans="1:24">
      <c r="A5" s="9" t="s">
        <v>1</v>
      </c>
      <c r="B5" s="15">
        <f t="shared" si="0"/>
        <v>-0.3888888888888889</v>
      </c>
      <c r="C5" s="135">
        <v>-7</v>
      </c>
      <c r="D5" s="1">
        <v>-61</v>
      </c>
      <c r="E5" s="120">
        <v>11</v>
      </c>
      <c r="F5" s="31">
        <v>18</v>
      </c>
      <c r="G5" s="31">
        <v>11</v>
      </c>
      <c r="H5" s="31">
        <v>34</v>
      </c>
      <c r="I5" s="31">
        <v>8</v>
      </c>
      <c r="J5" s="31">
        <v>13</v>
      </c>
      <c r="K5" s="31">
        <v>16</v>
      </c>
      <c r="L5" s="31">
        <v>30</v>
      </c>
      <c r="M5" s="31">
        <v>12</v>
      </c>
      <c r="N5" s="31">
        <v>154</v>
      </c>
      <c r="O5" s="31">
        <v>7</v>
      </c>
      <c r="P5" s="31">
        <v>14</v>
      </c>
      <c r="Q5" s="31">
        <v>145</v>
      </c>
      <c r="R5" s="31">
        <v>19</v>
      </c>
      <c r="S5" s="31">
        <v>203</v>
      </c>
      <c r="T5" s="31">
        <v>26</v>
      </c>
      <c r="U5" s="31">
        <v>163</v>
      </c>
      <c r="V5" s="31">
        <v>85</v>
      </c>
      <c r="W5" s="31">
        <v>259</v>
      </c>
      <c r="X5" s="32">
        <v>212</v>
      </c>
    </row>
    <row r="6" spans="1:24">
      <c r="A6" s="9" t="s">
        <v>8</v>
      </c>
      <c r="B6" s="15">
        <f t="shared" si="0"/>
        <v>-5.794251767560557E-2</v>
      </c>
      <c r="C6" s="135">
        <v>-3268</v>
      </c>
      <c r="D6" s="1">
        <v>-2782</v>
      </c>
      <c r="E6" s="120">
        <v>22518</v>
      </c>
      <c r="F6" s="31">
        <v>23903</v>
      </c>
      <c r="G6" s="31">
        <v>19317</v>
      </c>
      <c r="H6" s="31">
        <v>19006</v>
      </c>
      <c r="I6" s="31">
        <v>22339</v>
      </c>
      <c r="J6" s="31">
        <v>22379</v>
      </c>
      <c r="K6" s="31">
        <v>21204</v>
      </c>
      <c r="L6" s="31">
        <v>22587</v>
      </c>
      <c r="M6" s="31">
        <v>13579</v>
      </c>
      <c r="N6" s="31">
        <v>16644</v>
      </c>
      <c r="O6" s="31">
        <v>19346</v>
      </c>
      <c r="P6" s="31">
        <v>17440</v>
      </c>
      <c r="Q6" s="31">
        <v>19119</v>
      </c>
      <c r="R6" s="31">
        <v>17301</v>
      </c>
      <c r="S6" s="31">
        <v>20827</v>
      </c>
      <c r="T6" s="31">
        <v>16958</v>
      </c>
      <c r="U6" s="31">
        <v>19454</v>
      </c>
      <c r="V6" s="31">
        <v>13596</v>
      </c>
      <c r="W6" s="31">
        <v>16457</v>
      </c>
      <c r="X6" s="32">
        <v>12927</v>
      </c>
    </row>
    <row r="7" spans="1:24">
      <c r="A7" s="9" t="s">
        <v>129</v>
      </c>
      <c r="B7" s="15">
        <f t="shared" si="0"/>
        <v>-0.48275862068965519</v>
      </c>
      <c r="C7" s="135">
        <v>-1</v>
      </c>
      <c r="D7" s="1">
        <v>-1</v>
      </c>
      <c r="E7" s="120">
        <v>30</v>
      </c>
      <c r="F7" s="31">
        <v>58</v>
      </c>
      <c r="G7" s="31">
        <v>21</v>
      </c>
      <c r="H7" s="31">
        <v>56</v>
      </c>
      <c r="I7" s="31">
        <v>52</v>
      </c>
      <c r="J7" s="31">
        <v>57</v>
      </c>
      <c r="K7" s="31">
        <v>68</v>
      </c>
      <c r="L7" s="31">
        <v>119</v>
      </c>
      <c r="M7" s="31">
        <v>36</v>
      </c>
      <c r="N7" s="31">
        <v>121</v>
      </c>
      <c r="O7" s="31">
        <v>184</v>
      </c>
      <c r="P7" s="31">
        <v>105</v>
      </c>
      <c r="Q7" s="31">
        <v>187</v>
      </c>
      <c r="R7" s="31">
        <v>183</v>
      </c>
      <c r="S7" s="31">
        <v>215</v>
      </c>
      <c r="T7" s="31">
        <v>547</v>
      </c>
      <c r="U7" s="31">
        <v>379</v>
      </c>
      <c r="V7" s="31">
        <v>677</v>
      </c>
      <c r="W7" s="31">
        <v>514</v>
      </c>
      <c r="X7" s="32">
        <v>649</v>
      </c>
    </row>
    <row r="8" spans="1:24">
      <c r="A8" s="9" t="s">
        <v>2</v>
      </c>
      <c r="B8" s="15">
        <f t="shared" si="0"/>
        <v>-3.2275085744437604E-2</v>
      </c>
      <c r="C8" s="135">
        <v>-847</v>
      </c>
      <c r="D8" s="1">
        <v>-1178</v>
      </c>
      <c r="E8" s="120">
        <v>11004</v>
      </c>
      <c r="F8" s="31">
        <v>11371</v>
      </c>
      <c r="G8" s="31">
        <v>9630</v>
      </c>
      <c r="H8" s="31">
        <v>9797</v>
      </c>
      <c r="I8" s="31">
        <v>11888</v>
      </c>
      <c r="J8" s="31">
        <v>11227</v>
      </c>
      <c r="K8" s="31">
        <v>12537</v>
      </c>
      <c r="L8" s="31">
        <v>10886</v>
      </c>
      <c r="M8" s="31">
        <v>11031</v>
      </c>
      <c r="N8" s="31">
        <v>15162</v>
      </c>
      <c r="O8" s="64">
        <v>13267</v>
      </c>
      <c r="P8" s="64">
        <v>14398</v>
      </c>
      <c r="Q8" s="64">
        <v>13264</v>
      </c>
      <c r="R8" s="64">
        <v>16180</v>
      </c>
      <c r="S8" s="64">
        <v>16164</v>
      </c>
      <c r="T8" s="64">
        <v>18163</v>
      </c>
      <c r="U8" s="64">
        <v>18662</v>
      </c>
      <c r="V8" s="64">
        <v>19168</v>
      </c>
      <c r="W8" s="31">
        <v>20227</v>
      </c>
      <c r="X8" s="32">
        <v>21169</v>
      </c>
    </row>
    <row r="9" spans="1:24">
      <c r="A9" s="9" t="s">
        <v>16</v>
      </c>
      <c r="B9" s="15">
        <f t="shared" si="0"/>
        <v>0.58238636363636365</v>
      </c>
      <c r="C9" s="135">
        <v>-27</v>
      </c>
      <c r="D9" s="1">
        <v>-44</v>
      </c>
      <c r="E9" s="120">
        <v>557</v>
      </c>
      <c r="F9" s="31">
        <v>352</v>
      </c>
      <c r="G9" s="31">
        <v>420</v>
      </c>
      <c r="H9" s="31">
        <v>360</v>
      </c>
      <c r="I9" s="31">
        <v>604</v>
      </c>
      <c r="J9" s="31">
        <v>262</v>
      </c>
      <c r="K9" s="31">
        <v>431</v>
      </c>
      <c r="L9" s="31">
        <v>462</v>
      </c>
      <c r="M9" s="31">
        <v>283</v>
      </c>
      <c r="N9" s="31">
        <v>486</v>
      </c>
      <c r="O9" s="64">
        <v>415</v>
      </c>
      <c r="P9" s="64">
        <v>502</v>
      </c>
      <c r="Q9" s="64">
        <v>453</v>
      </c>
      <c r="R9" s="64">
        <v>558</v>
      </c>
      <c r="S9" s="64">
        <v>375</v>
      </c>
      <c r="T9" s="64">
        <v>517</v>
      </c>
      <c r="U9" s="64">
        <v>501</v>
      </c>
      <c r="V9" s="64">
        <v>859</v>
      </c>
      <c r="W9" s="31">
        <v>336</v>
      </c>
      <c r="X9" s="32">
        <v>701</v>
      </c>
    </row>
    <row r="10" spans="1:24">
      <c r="A10" s="9" t="s">
        <v>9</v>
      </c>
      <c r="B10" s="15">
        <f t="shared" si="0"/>
        <v>-0.42896935933147634</v>
      </c>
      <c r="C10" s="135">
        <v>23</v>
      </c>
      <c r="D10" s="1">
        <v>7</v>
      </c>
      <c r="E10" s="120">
        <v>205</v>
      </c>
      <c r="F10" s="31">
        <v>359</v>
      </c>
      <c r="G10" s="31">
        <v>211</v>
      </c>
      <c r="H10" s="31">
        <v>379</v>
      </c>
      <c r="I10" s="31">
        <v>399</v>
      </c>
      <c r="J10" s="31">
        <v>593</v>
      </c>
      <c r="K10" s="31">
        <v>302</v>
      </c>
      <c r="L10" s="31">
        <v>400</v>
      </c>
      <c r="M10" s="31">
        <v>173</v>
      </c>
      <c r="N10" s="31">
        <v>619</v>
      </c>
      <c r="O10" s="64">
        <v>1161</v>
      </c>
      <c r="P10" s="64">
        <v>1171</v>
      </c>
      <c r="Q10" s="64">
        <v>1686</v>
      </c>
      <c r="R10" s="64">
        <v>1824</v>
      </c>
      <c r="S10" s="64">
        <v>1186</v>
      </c>
      <c r="T10" s="64">
        <v>2796</v>
      </c>
      <c r="U10" s="64">
        <v>2553</v>
      </c>
      <c r="V10" s="64">
        <v>3344</v>
      </c>
      <c r="W10" s="31">
        <v>2322</v>
      </c>
      <c r="X10" s="32">
        <v>3410</v>
      </c>
    </row>
    <row r="11" spans="1:24">
      <c r="A11" s="9" t="s">
        <v>25</v>
      </c>
      <c r="B11" s="15">
        <f t="shared" si="0"/>
        <v>-3.7223730127956572E-2</v>
      </c>
      <c r="C11" s="135">
        <v>-161</v>
      </c>
      <c r="D11" s="1">
        <v>-165</v>
      </c>
      <c r="E11" s="120">
        <v>2483</v>
      </c>
      <c r="F11" s="31">
        <v>2579</v>
      </c>
      <c r="G11" s="31">
        <v>1491</v>
      </c>
      <c r="H11" s="31">
        <v>2235</v>
      </c>
      <c r="I11" s="31">
        <v>1856</v>
      </c>
      <c r="J11" s="31">
        <v>1434</v>
      </c>
      <c r="K11" s="31">
        <v>2540</v>
      </c>
      <c r="L11" s="31">
        <v>2159</v>
      </c>
      <c r="M11" s="31">
        <v>137</v>
      </c>
      <c r="N11" s="31">
        <v>3109</v>
      </c>
      <c r="O11" s="64">
        <v>2641</v>
      </c>
      <c r="P11" s="64">
        <v>3064</v>
      </c>
      <c r="Q11" s="64">
        <v>3138</v>
      </c>
      <c r="R11" s="64">
        <v>3098</v>
      </c>
      <c r="S11" s="64">
        <v>3502</v>
      </c>
      <c r="T11" s="64">
        <v>2974</v>
      </c>
      <c r="U11" s="64">
        <v>4045</v>
      </c>
      <c r="V11" s="64">
        <v>4188</v>
      </c>
      <c r="W11" s="31">
        <v>4221</v>
      </c>
      <c r="X11" s="32">
        <v>4065</v>
      </c>
    </row>
    <row r="12" spans="1:24">
      <c r="A12" s="9" t="s">
        <v>130</v>
      </c>
      <c r="B12" s="15">
        <f t="shared" si="0"/>
        <v>-0.29411764705882354</v>
      </c>
      <c r="C12" s="135">
        <v>-6</v>
      </c>
      <c r="D12" s="1">
        <v>-14</v>
      </c>
      <c r="E12" s="120">
        <v>132</v>
      </c>
      <c r="F12" s="31">
        <v>187</v>
      </c>
      <c r="G12" s="31">
        <v>10</v>
      </c>
      <c r="H12" s="31">
        <v>118</v>
      </c>
      <c r="I12" s="31">
        <v>112</v>
      </c>
      <c r="J12" s="31">
        <v>244</v>
      </c>
      <c r="K12" s="31">
        <v>43</v>
      </c>
      <c r="L12" s="31">
        <v>310</v>
      </c>
      <c r="M12" s="31">
        <v>0</v>
      </c>
      <c r="N12" s="31">
        <v>195</v>
      </c>
      <c r="O12" s="64">
        <v>174</v>
      </c>
      <c r="P12" s="64">
        <v>238</v>
      </c>
      <c r="Q12" s="64">
        <v>314</v>
      </c>
      <c r="R12" s="64">
        <v>143</v>
      </c>
      <c r="S12" s="64">
        <v>190</v>
      </c>
      <c r="T12" s="64">
        <v>190</v>
      </c>
      <c r="U12" s="64">
        <v>151</v>
      </c>
      <c r="V12" s="64">
        <v>234</v>
      </c>
      <c r="W12" s="31">
        <v>153</v>
      </c>
      <c r="X12" s="32">
        <v>222</v>
      </c>
    </row>
    <row r="13" spans="1:24">
      <c r="A13" s="9" t="s">
        <v>131</v>
      </c>
      <c r="B13" s="15">
        <f t="shared" si="0"/>
        <v>1.7816091954022988</v>
      </c>
      <c r="C13" s="135">
        <v>-1</v>
      </c>
      <c r="D13" s="1">
        <v>18</v>
      </c>
      <c r="E13" s="120">
        <v>242</v>
      </c>
      <c r="F13" s="31">
        <v>87</v>
      </c>
      <c r="G13" s="31">
        <v>11</v>
      </c>
      <c r="H13" s="31">
        <v>66</v>
      </c>
      <c r="I13" s="31">
        <v>85</v>
      </c>
      <c r="J13" s="31">
        <v>222</v>
      </c>
      <c r="K13" s="31">
        <v>41</v>
      </c>
      <c r="L13" s="31">
        <v>379</v>
      </c>
      <c r="M13" s="31">
        <v>129</v>
      </c>
      <c r="N13" s="31">
        <v>280</v>
      </c>
      <c r="O13" s="64">
        <v>541</v>
      </c>
      <c r="P13" s="64">
        <v>842</v>
      </c>
      <c r="Q13" s="64">
        <v>967</v>
      </c>
      <c r="R13" s="64">
        <v>1602</v>
      </c>
      <c r="S13" s="64">
        <v>2093</v>
      </c>
      <c r="T13" s="64">
        <v>3560</v>
      </c>
      <c r="U13" s="64">
        <v>4160</v>
      </c>
      <c r="V13" s="64">
        <v>4509</v>
      </c>
      <c r="W13" s="31">
        <v>5626</v>
      </c>
      <c r="X13" s="32">
        <v>7327</v>
      </c>
    </row>
    <row r="14" spans="1:24">
      <c r="A14" s="9" t="s">
        <v>12</v>
      </c>
      <c r="B14" s="15">
        <f t="shared" si="0"/>
        <v>5.1391862955032119E-2</v>
      </c>
      <c r="C14" s="135">
        <v>25</v>
      </c>
      <c r="D14" s="1">
        <v>6</v>
      </c>
      <c r="E14" s="120">
        <v>491</v>
      </c>
      <c r="F14" s="31">
        <v>467</v>
      </c>
      <c r="G14" s="31">
        <v>477</v>
      </c>
      <c r="H14" s="31">
        <v>433</v>
      </c>
      <c r="I14" s="31">
        <v>413</v>
      </c>
      <c r="J14" s="31">
        <v>495</v>
      </c>
      <c r="K14" s="31">
        <v>299</v>
      </c>
      <c r="L14" s="31">
        <v>291</v>
      </c>
      <c r="M14" s="31">
        <v>154</v>
      </c>
      <c r="N14" s="31">
        <v>345</v>
      </c>
      <c r="O14" s="64">
        <v>507</v>
      </c>
      <c r="P14" s="64">
        <v>513</v>
      </c>
      <c r="Q14" s="64">
        <v>791</v>
      </c>
      <c r="R14" s="64">
        <v>881</v>
      </c>
      <c r="S14" s="64">
        <v>991</v>
      </c>
      <c r="T14" s="64">
        <v>979</v>
      </c>
      <c r="U14" s="64">
        <v>1040</v>
      </c>
      <c r="V14" s="64">
        <v>911</v>
      </c>
      <c r="W14" s="31">
        <v>911</v>
      </c>
      <c r="X14" s="32">
        <v>753</v>
      </c>
    </row>
    <row r="15" spans="1:24">
      <c r="A15" s="9" t="s">
        <v>101</v>
      </c>
      <c r="B15" s="15">
        <f t="shared" si="0"/>
        <v>-0.31034482758620691</v>
      </c>
      <c r="C15" s="135">
        <v>-8</v>
      </c>
      <c r="D15" s="1">
        <v>-19</v>
      </c>
      <c r="E15" s="120">
        <v>20</v>
      </c>
      <c r="F15" s="31">
        <v>29</v>
      </c>
      <c r="G15" s="31">
        <v>16</v>
      </c>
      <c r="H15" s="31">
        <v>44</v>
      </c>
      <c r="I15" s="31">
        <v>23</v>
      </c>
      <c r="J15" s="31">
        <v>77</v>
      </c>
      <c r="K15" s="31">
        <v>15</v>
      </c>
      <c r="L15" s="31">
        <v>43</v>
      </c>
      <c r="M15" s="31">
        <v>1</v>
      </c>
      <c r="N15" s="31">
        <v>6</v>
      </c>
      <c r="O15" s="64">
        <v>13</v>
      </c>
      <c r="P15" s="64">
        <v>17</v>
      </c>
      <c r="Q15" s="64">
        <v>92</v>
      </c>
      <c r="R15" s="64">
        <v>46</v>
      </c>
      <c r="S15" s="64">
        <v>70</v>
      </c>
      <c r="T15" s="64">
        <v>22</v>
      </c>
      <c r="U15" s="64">
        <v>63</v>
      </c>
      <c r="V15" s="64">
        <v>61</v>
      </c>
      <c r="W15" s="31">
        <v>67</v>
      </c>
      <c r="X15" s="32">
        <v>140</v>
      </c>
    </row>
    <row r="16" spans="1:24">
      <c r="A16" s="9" t="s">
        <v>102</v>
      </c>
      <c r="B16" s="15">
        <f t="shared" si="0"/>
        <v>-0.11867704280155641</v>
      </c>
      <c r="C16" s="135">
        <v>-54</v>
      </c>
      <c r="D16" s="1">
        <v>-105</v>
      </c>
      <c r="E16" s="120">
        <v>906</v>
      </c>
      <c r="F16" s="31">
        <v>1028</v>
      </c>
      <c r="G16" s="31">
        <v>716</v>
      </c>
      <c r="H16" s="31">
        <v>1010</v>
      </c>
      <c r="I16" s="31">
        <v>587</v>
      </c>
      <c r="J16" s="31">
        <v>558</v>
      </c>
      <c r="K16" s="31">
        <v>465</v>
      </c>
      <c r="L16" s="31">
        <v>1080</v>
      </c>
      <c r="M16" s="31">
        <v>270</v>
      </c>
      <c r="N16" s="31">
        <v>644</v>
      </c>
      <c r="O16" s="64">
        <v>1115</v>
      </c>
      <c r="P16" s="64">
        <v>1197</v>
      </c>
      <c r="Q16" s="64">
        <v>1440</v>
      </c>
      <c r="R16" s="64">
        <v>1471</v>
      </c>
      <c r="S16" s="64">
        <v>1625</v>
      </c>
      <c r="T16" s="64">
        <v>1381</v>
      </c>
      <c r="U16" s="64">
        <v>1496</v>
      </c>
      <c r="V16" s="64">
        <v>1062</v>
      </c>
      <c r="W16" s="31">
        <v>1446</v>
      </c>
      <c r="X16" s="32">
        <v>1193</v>
      </c>
    </row>
    <row r="17" spans="1:26">
      <c r="A17" s="80" t="s">
        <v>85</v>
      </c>
      <c r="B17" s="15">
        <f t="shared" si="0"/>
        <v>2.3881704473182106</v>
      </c>
      <c r="C17" s="135">
        <v>3748</v>
      </c>
      <c r="D17" s="1">
        <v>-7901</v>
      </c>
      <c r="E17" s="120">
        <v>15982</v>
      </c>
      <c r="F17" s="31">
        <v>4717</v>
      </c>
      <c r="G17" s="31">
        <v>3168</v>
      </c>
      <c r="H17" s="31">
        <v>3605</v>
      </c>
      <c r="I17" s="31">
        <v>3147</v>
      </c>
      <c r="J17" s="31">
        <v>3850</v>
      </c>
      <c r="K17" s="31">
        <v>11893</v>
      </c>
      <c r="L17" s="31">
        <v>13656</v>
      </c>
      <c r="M17" s="31">
        <v>8485</v>
      </c>
      <c r="N17" s="31">
        <v>12625</v>
      </c>
      <c r="O17" s="64">
        <v>9526</v>
      </c>
      <c r="P17" s="64">
        <v>10202</v>
      </c>
      <c r="Q17" s="64">
        <v>11343</v>
      </c>
      <c r="R17" s="64">
        <v>8411</v>
      </c>
      <c r="S17" s="64">
        <v>9670</v>
      </c>
      <c r="T17" s="64">
        <v>5528</v>
      </c>
      <c r="U17" s="64">
        <f>526+386+3898</f>
        <v>4810</v>
      </c>
      <c r="V17" s="64">
        <v>2045</v>
      </c>
      <c r="W17" s="31">
        <v>1682</v>
      </c>
      <c r="X17" s="32">
        <v>782</v>
      </c>
    </row>
    <row r="18" spans="1:26" ht="13.8" thickBot="1">
      <c r="A18" s="116" t="s">
        <v>57</v>
      </c>
      <c r="B18" s="16">
        <f t="shared" si="0"/>
        <v>-0.75152820227841066</v>
      </c>
      <c r="C18" s="145">
        <v>-2187</v>
      </c>
      <c r="D18" s="7">
        <v>9827</v>
      </c>
      <c r="E18" s="121">
        <v>3577</v>
      </c>
      <c r="F18" s="35">
        <v>14396</v>
      </c>
      <c r="G18" s="35">
        <v>11698</v>
      </c>
      <c r="H18" s="35">
        <v>12740</v>
      </c>
      <c r="I18" s="35">
        <v>13032</v>
      </c>
      <c r="J18" s="35">
        <v>12736</v>
      </c>
      <c r="K18" s="35">
        <v>2992</v>
      </c>
      <c r="L18" s="35">
        <v>4618</v>
      </c>
      <c r="M18" s="35">
        <v>1762</v>
      </c>
      <c r="N18" s="35">
        <v>3300</v>
      </c>
      <c r="O18" s="65">
        <v>3830</v>
      </c>
      <c r="P18" s="65">
        <v>4020</v>
      </c>
      <c r="Q18" s="65">
        <v>1235</v>
      </c>
      <c r="R18" s="65">
        <v>802</v>
      </c>
      <c r="S18" s="65">
        <v>737</v>
      </c>
      <c r="T18" s="65">
        <v>606</v>
      </c>
      <c r="U18" s="65">
        <v>842</v>
      </c>
      <c r="V18" s="65">
        <v>768</v>
      </c>
      <c r="W18" s="35">
        <v>713</v>
      </c>
      <c r="X18" s="36">
        <v>779</v>
      </c>
      <c r="Z18" s="31"/>
    </row>
    <row r="19" spans="1:26" ht="13.8" thickBot="1">
      <c r="A19" s="19" t="s">
        <v>21</v>
      </c>
      <c r="B19" s="20">
        <f t="shared" si="0"/>
        <v>-2.1988115284523428E-2</v>
      </c>
      <c r="C19" s="146">
        <v>-3754</v>
      </c>
      <c r="D19" s="21">
        <v>-2322</v>
      </c>
      <c r="E19" s="122">
        <f>SUM(E2:E18)</f>
        <v>70277</v>
      </c>
      <c r="F19" s="50">
        <f t="shared" ref="F19" si="1">SUM(F2:F18)</f>
        <v>71857</v>
      </c>
      <c r="G19" s="50">
        <f t="shared" ref="G19:K19" si="2">SUM(G2:G18)</f>
        <v>56949</v>
      </c>
      <c r="H19" s="50">
        <f t="shared" si="2"/>
        <v>60925</v>
      </c>
      <c r="I19" s="50">
        <f t="shared" si="2"/>
        <v>63888</v>
      </c>
      <c r="J19" s="50">
        <f t="shared" si="2"/>
        <v>64111</v>
      </c>
      <c r="K19" s="50">
        <f t="shared" si="2"/>
        <v>61830</v>
      </c>
      <c r="L19" s="50">
        <v>68488</v>
      </c>
      <c r="M19" s="50">
        <v>41382</v>
      </c>
      <c r="N19" s="50">
        <f>SUM(N2:N18)</f>
        <v>63693</v>
      </c>
      <c r="O19" s="50">
        <f>SUM(O2:O18)</f>
        <v>62756</v>
      </c>
      <c r="P19" s="50">
        <f t="shared" ref="P19:X19" si="3">SUM(P2:P18)</f>
        <v>63323</v>
      </c>
      <c r="Q19" s="50">
        <f t="shared" si="3"/>
        <v>64590</v>
      </c>
      <c r="R19" s="50">
        <f t="shared" si="3"/>
        <v>62096</v>
      </c>
      <c r="S19" s="50">
        <f t="shared" si="3"/>
        <v>68136</v>
      </c>
      <c r="T19" s="50">
        <f t="shared" si="3"/>
        <v>63359</v>
      </c>
      <c r="U19" s="50">
        <f t="shared" si="3"/>
        <v>67200</v>
      </c>
      <c r="V19" s="50">
        <f t="shared" si="3"/>
        <v>59479</v>
      </c>
      <c r="W19" s="50">
        <f t="shared" si="3"/>
        <v>62992</v>
      </c>
      <c r="X19" s="51">
        <f t="shared" si="3"/>
        <v>60711</v>
      </c>
    </row>
    <row r="20" spans="1:26">
      <c r="B20" s="22"/>
      <c r="C20" s="22"/>
      <c r="D20" s="22"/>
      <c r="E20" s="22"/>
      <c r="F20" s="52"/>
      <c r="G20" s="52"/>
      <c r="H20" s="52"/>
      <c r="I20" s="52"/>
      <c r="J20" s="52"/>
      <c r="K20" s="52"/>
      <c r="L20" s="52"/>
      <c r="M20" s="52"/>
      <c r="N20" s="52"/>
    </row>
    <row r="21" spans="1:26" ht="13.8" thickBot="1">
      <c r="B21" s="22"/>
      <c r="C21" s="22"/>
      <c r="D21" s="22"/>
      <c r="E21" s="22"/>
      <c r="F21" s="52"/>
      <c r="G21" s="52"/>
      <c r="H21" s="52"/>
      <c r="I21" s="52"/>
      <c r="J21" s="52"/>
      <c r="K21" s="52"/>
      <c r="L21" s="52"/>
      <c r="M21" s="52"/>
      <c r="N21" s="52"/>
    </row>
    <row r="22" spans="1:26" ht="13.8" thickBot="1">
      <c r="A22" s="11" t="s">
        <v>23</v>
      </c>
      <c r="B22" s="12" t="s">
        <v>169</v>
      </c>
      <c r="C22" s="132" t="s">
        <v>170</v>
      </c>
      <c r="D22" s="133" t="s">
        <v>168</v>
      </c>
      <c r="E22" s="134">
        <v>45992</v>
      </c>
      <c r="F22" s="13">
        <v>45627</v>
      </c>
      <c r="G22" s="13">
        <v>45261</v>
      </c>
      <c r="H22" s="13">
        <v>44896</v>
      </c>
      <c r="I22" s="13">
        <v>44531</v>
      </c>
      <c r="J22" s="13">
        <v>44166</v>
      </c>
      <c r="K22" s="13">
        <v>43800</v>
      </c>
      <c r="L22" s="13">
        <v>43435</v>
      </c>
      <c r="M22" s="13">
        <v>43070</v>
      </c>
      <c r="N22" s="13">
        <v>42705</v>
      </c>
      <c r="O22" s="28">
        <f>O1</f>
        <v>42339</v>
      </c>
      <c r="P22" s="28">
        <f>P1</f>
        <v>41974</v>
      </c>
      <c r="Q22" s="28">
        <v>41609</v>
      </c>
      <c r="R22" s="28">
        <v>41244</v>
      </c>
      <c r="S22" s="28">
        <v>40878</v>
      </c>
      <c r="T22" s="28">
        <v>40513</v>
      </c>
      <c r="U22" s="28">
        <v>40148</v>
      </c>
      <c r="V22" s="28">
        <v>39783</v>
      </c>
      <c r="W22" s="28">
        <v>39417</v>
      </c>
      <c r="X22" s="44">
        <v>39052</v>
      </c>
    </row>
    <row r="23" spans="1:26">
      <c r="A23" s="9" t="s">
        <v>132</v>
      </c>
      <c r="B23" s="15">
        <f t="shared" ref="B23:B28" si="4">IFERROR(((E23-F23)/F23),"")</f>
        <v>-0.49030135088326982</v>
      </c>
      <c r="C23" s="135">
        <v>-963</v>
      </c>
      <c r="D23" s="1">
        <v>-1019</v>
      </c>
      <c r="E23" s="120">
        <v>2943</v>
      </c>
      <c r="F23" s="31">
        <v>5774</v>
      </c>
      <c r="G23" s="31">
        <v>4382</v>
      </c>
      <c r="H23" s="31">
        <v>4892</v>
      </c>
      <c r="I23" s="31">
        <v>4651</v>
      </c>
      <c r="J23" s="31">
        <v>5891</v>
      </c>
      <c r="K23" s="31">
        <v>6624</v>
      </c>
      <c r="L23" s="31">
        <v>5673</v>
      </c>
      <c r="M23" s="31">
        <v>954</v>
      </c>
      <c r="N23" s="31">
        <v>3117</v>
      </c>
      <c r="O23" s="31">
        <v>3862</v>
      </c>
      <c r="P23" s="31">
        <v>5054</v>
      </c>
      <c r="Q23" s="31">
        <v>3929</v>
      </c>
      <c r="R23" s="31">
        <v>2772</v>
      </c>
      <c r="S23" s="31">
        <v>5180</v>
      </c>
      <c r="T23" s="31">
        <v>2873</v>
      </c>
      <c r="U23" s="31">
        <v>4994</v>
      </c>
      <c r="V23" s="31">
        <v>1602</v>
      </c>
      <c r="W23" s="31">
        <v>4783</v>
      </c>
      <c r="X23" s="32">
        <v>3137</v>
      </c>
    </row>
    <row r="24" spans="1:26">
      <c r="A24" s="9" t="s">
        <v>6</v>
      </c>
      <c r="B24" s="15">
        <f t="shared" si="4"/>
        <v>-0.50292397660818711</v>
      </c>
      <c r="C24" s="135">
        <v>-544</v>
      </c>
      <c r="D24" s="1">
        <v>-712</v>
      </c>
      <c r="E24" s="120">
        <v>1105</v>
      </c>
      <c r="F24" s="31">
        <v>2223</v>
      </c>
      <c r="G24" s="31">
        <v>471</v>
      </c>
      <c r="H24" s="31">
        <v>1468</v>
      </c>
      <c r="I24" s="31">
        <v>837</v>
      </c>
      <c r="J24" s="31">
        <v>1429</v>
      </c>
      <c r="K24" s="31">
        <v>1992</v>
      </c>
      <c r="L24" s="31">
        <v>1457</v>
      </c>
      <c r="M24" s="31">
        <v>456</v>
      </c>
      <c r="N24" s="31">
        <v>1643</v>
      </c>
      <c r="O24" s="31">
        <v>1153</v>
      </c>
      <c r="P24" s="31">
        <v>1669</v>
      </c>
      <c r="Q24" s="31">
        <v>1369</v>
      </c>
      <c r="R24" s="31">
        <v>924</v>
      </c>
      <c r="S24" s="31">
        <v>2699</v>
      </c>
      <c r="T24" s="31">
        <v>750</v>
      </c>
      <c r="U24" s="31">
        <v>2531</v>
      </c>
      <c r="V24" s="31">
        <v>869</v>
      </c>
      <c r="W24" s="31">
        <v>2830</v>
      </c>
      <c r="X24" s="32">
        <v>1219</v>
      </c>
    </row>
    <row r="25" spans="1:26">
      <c r="A25" s="9" t="s">
        <v>133</v>
      </c>
      <c r="B25" s="15">
        <f t="shared" si="4"/>
        <v>-0.60422163588390498</v>
      </c>
      <c r="C25" s="135">
        <v>-320</v>
      </c>
      <c r="D25" s="1">
        <v>-320</v>
      </c>
      <c r="E25" s="120">
        <v>600</v>
      </c>
      <c r="F25" s="31">
        <v>1516</v>
      </c>
      <c r="G25" s="31">
        <v>406</v>
      </c>
      <c r="H25" s="31">
        <v>1256</v>
      </c>
      <c r="I25" s="31">
        <v>860</v>
      </c>
      <c r="J25" s="31">
        <v>1594</v>
      </c>
      <c r="K25" s="31">
        <v>1369</v>
      </c>
      <c r="L25" s="31">
        <v>1674</v>
      </c>
      <c r="M25" s="31">
        <v>561</v>
      </c>
      <c r="N25" s="31">
        <v>1838</v>
      </c>
      <c r="O25" s="31">
        <v>1952</v>
      </c>
      <c r="P25" s="31">
        <v>1925</v>
      </c>
      <c r="Q25" s="31">
        <v>1841</v>
      </c>
      <c r="R25" s="31">
        <v>1571</v>
      </c>
      <c r="S25" s="31">
        <v>2757</v>
      </c>
      <c r="T25" s="31">
        <v>1087</v>
      </c>
      <c r="U25" s="31">
        <v>3370</v>
      </c>
      <c r="V25" s="31">
        <v>641</v>
      </c>
      <c r="W25" s="31">
        <v>3212</v>
      </c>
      <c r="X25" s="32">
        <v>1448</v>
      </c>
    </row>
    <row r="26" spans="1:26">
      <c r="A26" s="9" t="s">
        <v>122</v>
      </c>
      <c r="B26" s="15">
        <f t="shared" si="4"/>
        <v>-0.97142857142857142</v>
      </c>
      <c r="C26" s="135">
        <v>-107</v>
      </c>
      <c r="D26" s="1">
        <v>-309</v>
      </c>
      <c r="E26" s="120">
        <v>5</v>
      </c>
      <c r="F26" s="31">
        <v>175</v>
      </c>
      <c r="G26" s="31">
        <v>0</v>
      </c>
      <c r="H26" s="31">
        <v>63</v>
      </c>
      <c r="I26" s="31">
        <v>0</v>
      </c>
      <c r="J26" s="31">
        <v>289</v>
      </c>
      <c r="K26" s="31">
        <v>315</v>
      </c>
      <c r="L26" s="31"/>
      <c r="M26" s="31">
        <v>0</v>
      </c>
      <c r="N26" s="31">
        <v>0</v>
      </c>
      <c r="O26" s="31">
        <v>60</v>
      </c>
      <c r="P26" s="31"/>
      <c r="Q26" s="31"/>
      <c r="R26" s="31"/>
      <c r="S26" s="31"/>
      <c r="T26" s="31"/>
      <c r="U26" s="31"/>
      <c r="V26" s="31"/>
      <c r="W26" s="31"/>
      <c r="X26" s="32"/>
    </row>
    <row r="27" spans="1:26" ht="13.8" thickBot="1">
      <c r="A27" s="18" t="s">
        <v>57</v>
      </c>
      <c r="B27" s="16">
        <f t="shared" si="4"/>
        <v>9.4276094276094277E-2</v>
      </c>
      <c r="C27" s="145">
        <v>-335</v>
      </c>
      <c r="D27" s="7">
        <v>-656</v>
      </c>
      <c r="E27" s="121">
        <v>1300</v>
      </c>
      <c r="F27" s="35">
        <v>1188</v>
      </c>
      <c r="G27" s="35">
        <v>722</v>
      </c>
      <c r="H27" s="35">
        <v>964</v>
      </c>
      <c r="I27" s="35">
        <v>583</v>
      </c>
      <c r="J27" s="35">
        <v>813</v>
      </c>
      <c r="K27" s="35">
        <v>587</v>
      </c>
      <c r="L27" s="35">
        <v>678</v>
      </c>
      <c r="M27" s="35">
        <v>157</v>
      </c>
      <c r="N27" s="35">
        <v>343</v>
      </c>
      <c r="O27" s="35">
        <v>395</v>
      </c>
      <c r="P27" s="35">
        <v>612</v>
      </c>
      <c r="Q27" s="35">
        <v>457</v>
      </c>
      <c r="R27" s="35">
        <v>237</v>
      </c>
      <c r="S27" s="35">
        <v>489</v>
      </c>
      <c r="T27" s="35">
        <v>244</v>
      </c>
      <c r="U27" s="35">
        <v>474</v>
      </c>
      <c r="V27" s="35">
        <v>193</v>
      </c>
      <c r="W27" s="35">
        <v>602</v>
      </c>
      <c r="X27" s="36">
        <v>313</v>
      </c>
    </row>
    <row r="28" spans="1:26" ht="13.8" thickBot="1">
      <c r="A28" s="19" t="s">
        <v>21</v>
      </c>
      <c r="B28" s="20">
        <f t="shared" si="4"/>
        <v>-0.45264803236484003</v>
      </c>
      <c r="C28" s="146">
        <v>-2269</v>
      </c>
      <c r="D28" s="21">
        <v>-3016</v>
      </c>
      <c r="E28" s="122">
        <f>SUM(E23:E27)</f>
        <v>5953</v>
      </c>
      <c r="F28" s="50">
        <f t="shared" ref="F28" si="5">SUM(F23:F27)</f>
        <v>10876</v>
      </c>
      <c r="G28" s="50">
        <f t="shared" ref="G28:K28" si="6">SUM(G23:G27)</f>
        <v>5981</v>
      </c>
      <c r="H28" s="50">
        <f t="shared" si="6"/>
        <v>8643</v>
      </c>
      <c r="I28" s="50">
        <f t="shared" si="6"/>
        <v>6931</v>
      </c>
      <c r="J28" s="50">
        <f t="shared" si="6"/>
        <v>10016</v>
      </c>
      <c r="K28" s="50">
        <f t="shared" si="6"/>
        <v>10887</v>
      </c>
      <c r="L28" s="50">
        <v>9874</v>
      </c>
      <c r="M28" s="50">
        <v>2128</v>
      </c>
      <c r="N28" s="50">
        <f>SUM(N23:N27)</f>
        <v>6941</v>
      </c>
      <c r="O28" s="50">
        <f>SUM(O23:O27)</f>
        <v>7422</v>
      </c>
      <c r="P28" s="50">
        <f>SUM(P23:P27)</f>
        <v>9260</v>
      </c>
      <c r="Q28" s="50">
        <f>SUM(Q23:Q27)</f>
        <v>7596</v>
      </c>
      <c r="R28" s="50">
        <f>SUM(R23:R27)</f>
        <v>5504</v>
      </c>
      <c r="S28" s="50">
        <f t="shared" ref="S28:X28" si="7">SUM(S23:S27)</f>
        <v>11125</v>
      </c>
      <c r="T28" s="50">
        <f t="shared" si="7"/>
        <v>4954</v>
      </c>
      <c r="U28" s="50">
        <f t="shared" si="7"/>
        <v>11369</v>
      </c>
      <c r="V28" s="50">
        <f t="shared" si="7"/>
        <v>3305</v>
      </c>
      <c r="W28" s="50">
        <f t="shared" si="7"/>
        <v>11427</v>
      </c>
      <c r="X28" s="51">
        <f t="shared" si="7"/>
        <v>6117</v>
      </c>
    </row>
    <row r="35" spans="23:25" ht="17.399999999999999">
      <c r="W35" s="66"/>
      <c r="X35" s="31"/>
      <c r="Y35" s="31"/>
    </row>
    <row r="36" spans="23:25" ht="17.399999999999999">
      <c r="W36" s="66"/>
      <c r="X36" s="31"/>
      <c r="Y36" s="31"/>
    </row>
    <row r="37" spans="23:25" ht="17.399999999999999">
      <c r="W37" s="66"/>
      <c r="X37" s="31"/>
      <c r="Y37" s="31"/>
    </row>
    <row r="38" spans="23:25" ht="17.399999999999999">
      <c r="W38" s="66"/>
      <c r="X38" s="31"/>
      <c r="Y38" s="31"/>
    </row>
    <row r="39" spans="23:25" ht="17.399999999999999">
      <c r="W39" s="66"/>
      <c r="X39" s="31"/>
      <c r="Y39" s="31"/>
    </row>
    <row r="40" spans="23:25" ht="17.399999999999999">
      <c r="W40" s="66"/>
      <c r="X40" s="31"/>
      <c r="Y40" s="31"/>
    </row>
    <row r="41" spans="23:25" ht="17.399999999999999">
      <c r="W41" s="66"/>
      <c r="X41" s="31"/>
      <c r="Y41" s="31"/>
    </row>
    <row r="42" spans="23:25" ht="17.399999999999999">
      <c r="W42" s="66"/>
      <c r="X42" s="31"/>
      <c r="Y42" s="31"/>
    </row>
    <row r="43" spans="23:25" ht="17.399999999999999">
      <c r="W43" s="66"/>
      <c r="X43" s="31"/>
      <c r="Y43" s="31"/>
    </row>
    <row r="44" spans="23:25" ht="17.399999999999999">
      <c r="W44" s="66"/>
      <c r="X44" s="31"/>
      <c r="Y44" s="31"/>
    </row>
    <row r="45" spans="23:25" ht="17.399999999999999">
      <c r="W45" s="67"/>
      <c r="X45" s="31"/>
      <c r="Y45" s="31"/>
    </row>
    <row r="46" spans="23:25" ht="18">
      <c r="W46" s="68"/>
      <c r="X46" s="60"/>
      <c r="Y46" s="60"/>
    </row>
  </sheetData>
  <conditionalFormatting sqref="E1">
    <cfRule type="expression" dxfId="5" priority="2">
      <formula>ISBLANK(XFD1)=FALSE</formula>
    </cfRule>
  </conditionalFormatting>
  <conditionalFormatting sqref="E22">
    <cfRule type="expression" dxfId="4" priority="1">
      <formula>ISBLANK(XFD22)=FALSE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37"/>
  <sheetViews>
    <sheetView workbookViewId="0"/>
  </sheetViews>
  <sheetFormatPr defaultColWidth="9.109375" defaultRowHeight="13.2"/>
  <cols>
    <col min="1" max="1" width="23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1" width="11.44140625" style="26" customWidth="1"/>
    <col min="12" max="13" width="10.6640625" style="26" customWidth="1"/>
    <col min="14" max="24" width="10.33203125" style="26" customWidth="1"/>
    <col min="25" max="16384" width="9.109375" style="26"/>
  </cols>
  <sheetData>
    <row r="1" spans="1:24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28">
        <v>39783</v>
      </c>
      <c r="W1" s="28">
        <v>39417</v>
      </c>
      <c r="X1" s="44">
        <v>39052</v>
      </c>
    </row>
    <row r="2" spans="1:24">
      <c r="A2" s="9" t="s">
        <v>3</v>
      </c>
      <c r="B2" s="15">
        <f t="shared" ref="B2:B8" si="0">IFERROR(((E2-F2)/F2),"")</f>
        <v>0.40223804679552388</v>
      </c>
      <c r="C2" s="135">
        <v>-1535</v>
      </c>
      <c r="D2" s="1">
        <v>-296</v>
      </c>
      <c r="E2" s="120">
        <v>6892</v>
      </c>
      <c r="F2" s="31">
        <v>4915</v>
      </c>
      <c r="G2" s="31">
        <v>4123</v>
      </c>
      <c r="H2" s="31">
        <v>5478</v>
      </c>
      <c r="I2" s="31">
        <v>7096</v>
      </c>
      <c r="J2" s="31">
        <v>6000</v>
      </c>
      <c r="K2" s="31">
        <v>7000</v>
      </c>
      <c r="L2" s="31">
        <v>7770.1909999999998</v>
      </c>
      <c r="M2" s="31">
        <v>4588</v>
      </c>
      <c r="N2" s="31">
        <v>8272</v>
      </c>
      <c r="O2" s="31">
        <v>10722</v>
      </c>
      <c r="P2" s="31">
        <v>9996</v>
      </c>
      <c r="Q2" s="31">
        <v>11148</v>
      </c>
      <c r="R2" s="31">
        <v>9000</v>
      </c>
      <c r="S2" s="31">
        <v>11000</v>
      </c>
      <c r="T2" s="31">
        <v>10000</v>
      </c>
      <c r="U2" s="31">
        <v>13000</v>
      </c>
      <c r="V2" s="31">
        <v>15000</v>
      </c>
      <c r="W2" s="31">
        <v>11000</v>
      </c>
      <c r="X2" s="32">
        <v>15000</v>
      </c>
    </row>
    <row r="3" spans="1:24">
      <c r="A3" s="9" t="s">
        <v>1</v>
      </c>
      <c r="B3" s="15">
        <f t="shared" si="0"/>
        <v>0.3050369781913787</v>
      </c>
      <c r="C3" s="135">
        <v>-8733</v>
      </c>
      <c r="D3" s="1">
        <v>-2654</v>
      </c>
      <c r="E3" s="120">
        <v>68996</v>
      </c>
      <c r="F3" s="31">
        <v>52869</v>
      </c>
      <c r="G3" s="31">
        <v>47141</v>
      </c>
      <c r="H3" s="31">
        <v>61376</v>
      </c>
      <c r="I3" s="31">
        <v>57008</v>
      </c>
      <c r="J3" s="31">
        <v>43897</v>
      </c>
      <c r="K3" s="31">
        <v>67799</v>
      </c>
      <c r="L3" s="31">
        <v>66469.138000000006</v>
      </c>
      <c r="M3" s="31">
        <v>56847</v>
      </c>
      <c r="N3" s="31">
        <v>84035</v>
      </c>
      <c r="O3" s="31">
        <v>91050</v>
      </c>
      <c r="P3" s="31">
        <v>87581</v>
      </c>
      <c r="Q3" s="31">
        <v>83273</v>
      </c>
      <c r="R3" s="31">
        <v>66000</v>
      </c>
      <c r="S3" s="31">
        <v>95000</v>
      </c>
      <c r="T3" s="31">
        <v>74000</v>
      </c>
      <c r="U3" s="31">
        <v>113000</v>
      </c>
      <c r="V3" s="31">
        <v>93000</v>
      </c>
      <c r="W3" s="31">
        <v>90000</v>
      </c>
      <c r="X3" s="32">
        <v>70000</v>
      </c>
    </row>
    <row r="4" spans="1:24">
      <c r="A4" s="9" t="s">
        <v>2</v>
      </c>
      <c r="B4" s="15">
        <f t="shared" si="0"/>
        <v>-0.27416595380667236</v>
      </c>
      <c r="C4" s="135">
        <v>-214</v>
      </c>
      <c r="D4" s="1">
        <v>-357</v>
      </c>
      <c r="E4" s="120">
        <v>1697</v>
      </c>
      <c r="F4" s="31">
        <v>2338</v>
      </c>
      <c r="G4" s="31">
        <v>3096</v>
      </c>
      <c r="H4" s="31">
        <v>4071</v>
      </c>
      <c r="I4" s="31">
        <v>4489</v>
      </c>
      <c r="J4" s="31">
        <v>5000</v>
      </c>
      <c r="K4" s="31">
        <v>7000</v>
      </c>
      <c r="L4" s="31">
        <v>8206.3580000000002</v>
      </c>
      <c r="M4" s="31">
        <v>8679</v>
      </c>
      <c r="N4" s="31">
        <v>10134</v>
      </c>
      <c r="O4" s="31">
        <v>15414</v>
      </c>
      <c r="P4" s="31">
        <v>16882</v>
      </c>
      <c r="Q4" s="31">
        <v>21541</v>
      </c>
      <c r="R4" s="31">
        <v>19000</v>
      </c>
      <c r="S4" s="31">
        <v>18000</v>
      </c>
      <c r="T4" s="31">
        <v>15000</v>
      </c>
      <c r="U4" s="31">
        <v>15000</v>
      </c>
      <c r="V4" s="31">
        <v>19000</v>
      </c>
      <c r="W4" s="31">
        <v>19000</v>
      </c>
      <c r="X4" s="32">
        <v>20000</v>
      </c>
    </row>
    <row r="5" spans="1:24">
      <c r="A5" s="9" t="s">
        <v>134</v>
      </c>
      <c r="B5" s="15">
        <f t="shared" si="0"/>
        <v>0.31859866346515464</v>
      </c>
      <c r="C5" s="135">
        <v>-3588</v>
      </c>
      <c r="D5" s="1">
        <v>140</v>
      </c>
      <c r="E5" s="120">
        <v>45580</v>
      </c>
      <c r="F5" s="31">
        <v>34567</v>
      </c>
      <c r="G5" s="31">
        <v>33966</v>
      </c>
      <c r="H5" s="31">
        <v>42048</v>
      </c>
      <c r="I5" s="31">
        <v>43355</v>
      </c>
      <c r="J5" s="31">
        <v>46000</v>
      </c>
      <c r="K5" s="31">
        <v>54000</v>
      </c>
      <c r="L5" s="31">
        <v>55004.012000000002</v>
      </c>
      <c r="M5" s="31">
        <v>46074</v>
      </c>
      <c r="N5" s="31">
        <v>71156</v>
      </c>
      <c r="O5" s="64">
        <v>67683</v>
      </c>
      <c r="P5" s="64">
        <v>73748</v>
      </c>
      <c r="Q5" s="64">
        <v>76323</v>
      </c>
      <c r="R5" s="64">
        <v>69000</v>
      </c>
      <c r="S5" s="64">
        <v>110000</v>
      </c>
      <c r="T5" s="64">
        <v>70000</v>
      </c>
      <c r="U5" s="64">
        <v>103000</v>
      </c>
      <c r="V5" s="64">
        <v>98000</v>
      </c>
      <c r="W5" s="31">
        <v>106000</v>
      </c>
      <c r="X5" s="32">
        <v>95000</v>
      </c>
    </row>
    <row r="6" spans="1:24">
      <c r="A6" s="9" t="s">
        <v>157</v>
      </c>
      <c r="B6" s="15">
        <f t="shared" si="0"/>
        <v>0.6134949075820445</v>
      </c>
      <c r="C6" s="135">
        <v>-2932</v>
      </c>
      <c r="D6" s="1">
        <v>-4010</v>
      </c>
      <c r="E6" s="120">
        <v>34219</v>
      </c>
      <c r="F6" s="31">
        <v>21208</v>
      </c>
      <c r="G6" s="31">
        <v>24627</v>
      </c>
      <c r="H6" s="31">
        <v>31017</v>
      </c>
      <c r="I6" s="31">
        <v>35456</v>
      </c>
      <c r="J6" s="31">
        <v>35000</v>
      </c>
      <c r="K6" s="31">
        <v>33000</v>
      </c>
      <c r="L6" s="31">
        <v>33281.758999999998</v>
      </c>
      <c r="M6" s="31">
        <v>21323</v>
      </c>
      <c r="N6" s="31">
        <v>28989</v>
      </c>
      <c r="O6" s="64">
        <v>27534</v>
      </c>
      <c r="P6" s="64">
        <v>27400</v>
      </c>
      <c r="Q6" s="64">
        <v>24760</v>
      </c>
      <c r="R6" s="64"/>
      <c r="S6" s="64"/>
      <c r="T6" s="64"/>
      <c r="U6" s="64"/>
      <c r="V6" s="64"/>
      <c r="W6" s="31"/>
      <c r="X6" s="32"/>
    </row>
    <row r="7" spans="1:24" ht="13.8" thickBot="1">
      <c r="A7" s="18" t="s">
        <v>57</v>
      </c>
      <c r="B7" s="16">
        <f t="shared" si="0"/>
        <v>0.70914696813977385</v>
      </c>
      <c r="C7" s="145">
        <v>-131</v>
      </c>
      <c r="D7" s="7">
        <v>-996</v>
      </c>
      <c r="E7" s="121">
        <v>8315</v>
      </c>
      <c r="F7" s="35">
        <v>4865</v>
      </c>
      <c r="G7" s="35">
        <v>4105</v>
      </c>
      <c r="H7" s="35">
        <v>4895</v>
      </c>
      <c r="I7" s="35">
        <v>6250</v>
      </c>
      <c r="J7" s="35">
        <v>10000</v>
      </c>
      <c r="K7" s="35">
        <v>9000</v>
      </c>
      <c r="L7" s="35">
        <v>9995.7579999999998</v>
      </c>
      <c r="M7" s="35">
        <v>8154</v>
      </c>
      <c r="N7" s="35">
        <v>8993</v>
      </c>
      <c r="O7" s="65">
        <v>7892</v>
      </c>
      <c r="P7" s="65">
        <v>8902</v>
      </c>
      <c r="Q7" s="65">
        <v>7871</v>
      </c>
      <c r="R7" s="65">
        <v>33000</v>
      </c>
      <c r="S7" s="65">
        <v>35000</v>
      </c>
      <c r="T7" s="65">
        <v>33000</v>
      </c>
      <c r="U7" s="65">
        <v>24000</v>
      </c>
      <c r="V7" s="65">
        <v>12000</v>
      </c>
      <c r="W7" s="35">
        <v>11000</v>
      </c>
      <c r="X7" s="36">
        <v>15000</v>
      </c>
    </row>
    <row r="8" spans="1:24" ht="13.8" thickBot="1">
      <c r="A8" s="19" t="s">
        <v>21</v>
      </c>
      <c r="B8" s="20">
        <f t="shared" si="0"/>
        <v>0.37211208823967806</v>
      </c>
      <c r="C8" s="146">
        <v>-17133</v>
      </c>
      <c r="D8" s="21">
        <v>-8173</v>
      </c>
      <c r="E8" s="122">
        <f t="shared" ref="E8" si="1">SUM(E2:E7)</f>
        <v>165699</v>
      </c>
      <c r="F8" s="50">
        <f t="shared" ref="F8" si="2">SUM(F2:F7)</f>
        <v>120762</v>
      </c>
      <c r="G8" s="50">
        <f t="shared" ref="G8:K8" si="3">SUM(G2:G7)</f>
        <v>117058</v>
      </c>
      <c r="H8" s="50">
        <f t="shared" si="3"/>
        <v>148885</v>
      </c>
      <c r="I8" s="50">
        <f t="shared" si="3"/>
        <v>153654</v>
      </c>
      <c r="J8" s="50">
        <f t="shared" si="3"/>
        <v>145897</v>
      </c>
      <c r="K8" s="50">
        <f t="shared" si="3"/>
        <v>177799</v>
      </c>
      <c r="L8" s="50">
        <v>180727.21600000001</v>
      </c>
      <c r="M8" s="50">
        <v>145665</v>
      </c>
      <c r="N8" s="50">
        <f>SUM(N2:N7)</f>
        <v>211579</v>
      </c>
      <c r="O8" s="50">
        <f>SUM(O2:O7)</f>
        <v>220295</v>
      </c>
      <c r="P8" s="50">
        <f>SUM(P2:P7)</f>
        <v>224509</v>
      </c>
      <c r="Q8" s="50">
        <f>SUM(Q2:Q7)</f>
        <v>224916</v>
      </c>
      <c r="R8" s="50">
        <f>SUM(R2:R7)</f>
        <v>196000</v>
      </c>
      <c r="S8" s="50">
        <f t="shared" ref="S8:X8" si="4">SUM(S2:S7)</f>
        <v>269000</v>
      </c>
      <c r="T8" s="50">
        <f t="shared" si="4"/>
        <v>202000</v>
      </c>
      <c r="U8" s="50">
        <f t="shared" si="4"/>
        <v>268000</v>
      </c>
      <c r="V8" s="50">
        <f t="shared" si="4"/>
        <v>237000</v>
      </c>
      <c r="W8" s="50">
        <f t="shared" si="4"/>
        <v>237000</v>
      </c>
      <c r="X8" s="51">
        <f t="shared" si="4"/>
        <v>215000</v>
      </c>
    </row>
    <row r="9" spans="1:24">
      <c r="B9" s="22"/>
      <c r="C9" s="22"/>
      <c r="D9" s="22"/>
      <c r="E9" s="22"/>
      <c r="F9" s="52"/>
      <c r="G9" s="52"/>
      <c r="H9" s="52"/>
      <c r="I9" s="52"/>
      <c r="J9" s="52"/>
      <c r="K9" s="52"/>
      <c r="L9" s="52"/>
      <c r="M9" s="52"/>
      <c r="N9" s="52"/>
    </row>
    <row r="10" spans="1:24" ht="13.8" thickBot="1">
      <c r="B10" s="22"/>
      <c r="C10" s="22"/>
      <c r="D10" s="22"/>
      <c r="E10" s="22"/>
      <c r="F10" s="52"/>
      <c r="G10" s="52"/>
      <c r="H10" s="52"/>
      <c r="I10" s="52"/>
      <c r="J10" s="52"/>
      <c r="K10" s="52"/>
      <c r="L10" s="52"/>
      <c r="M10" s="52"/>
      <c r="N10" s="52"/>
    </row>
    <row r="11" spans="1:24" ht="13.8" thickBot="1">
      <c r="A11" s="11" t="s">
        <v>23</v>
      </c>
      <c r="B11" s="12" t="s">
        <v>169</v>
      </c>
      <c r="C11" s="132" t="s">
        <v>170</v>
      </c>
      <c r="D11" s="133" t="s">
        <v>168</v>
      </c>
      <c r="E11" s="134">
        <v>45992</v>
      </c>
      <c r="F11" s="13">
        <v>45627</v>
      </c>
      <c r="G11" s="13">
        <v>45261</v>
      </c>
      <c r="H11" s="13">
        <v>44896</v>
      </c>
      <c r="I11" s="13">
        <v>44531</v>
      </c>
      <c r="J11" s="13">
        <v>44166</v>
      </c>
      <c r="K11" s="13">
        <v>43800</v>
      </c>
      <c r="L11" s="13">
        <v>43435</v>
      </c>
      <c r="M11" s="13">
        <v>43070</v>
      </c>
      <c r="N11" s="13">
        <v>42705</v>
      </c>
      <c r="O11" s="28">
        <f>O1</f>
        <v>42339</v>
      </c>
      <c r="P11" s="28">
        <f>P1</f>
        <v>41974</v>
      </c>
      <c r="Q11" s="28">
        <v>41609</v>
      </c>
      <c r="R11" s="28">
        <v>41244</v>
      </c>
      <c r="S11" s="28">
        <v>40878</v>
      </c>
      <c r="T11" s="28">
        <v>40513</v>
      </c>
      <c r="U11" s="28">
        <v>40148</v>
      </c>
      <c r="V11" s="28">
        <v>39783</v>
      </c>
      <c r="W11" s="28">
        <v>39417</v>
      </c>
      <c r="X11" s="44">
        <v>39052</v>
      </c>
    </row>
    <row r="12" spans="1:24">
      <c r="A12" s="9" t="s">
        <v>6</v>
      </c>
      <c r="B12" s="15">
        <f t="shared" ref="B12:B15" si="5">IFERROR(((E12-F12)/F12),"")</f>
        <v>0.12526797612839677</v>
      </c>
      <c r="C12" s="135">
        <v>-22424</v>
      </c>
      <c r="D12" s="1">
        <v>-24855</v>
      </c>
      <c r="E12" s="120">
        <v>213631</v>
      </c>
      <c r="F12" s="31">
        <v>189849</v>
      </c>
      <c r="G12" s="31">
        <v>206991</v>
      </c>
      <c r="H12" s="31">
        <v>202033</v>
      </c>
      <c r="I12" s="31">
        <v>191837</v>
      </c>
      <c r="J12" s="31">
        <v>218000</v>
      </c>
      <c r="K12" s="31">
        <v>194000</v>
      </c>
      <c r="L12" s="31">
        <v>214147.405</v>
      </c>
      <c r="M12" s="31">
        <v>186497</v>
      </c>
      <c r="N12" s="31">
        <v>196772</v>
      </c>
      <c r="O12" s="31">
        <v>191959</v>
      </c>
      <c r="P12" s="31">
        <v>184515</v>
      </c>
      <c r="Q12" s="31">
        <v>187873</v>
      </c>
      <c r="R12" s="31">
        <v>105000</v>
      </c>
      <c r="S12" s="31">
        <v>165000</v>
      </c>
      <c r="T12" s="31">
        <v>130000</v>
      </c>
      <c r="U12" s="31">
        <v>150000</v>
      </c>
      <c r="V12" s="31">
        <v>73000</v>
      </c>
      <c r="W12" s="31">
        <v>110000</v>
      </c>
      <c r="X12" s="32">
        <v>105000</v>
      </c>
    </row>
    <row r="13" spans="1:24">
      <c r="A13" s="9" t="s">
        <v>105</v>
      </c>
      <c r="B13" s="15">
        <f t="shared" si="5"/>
        <v>0.56545454545454543</v>
      </c>
      <c r="C13" s="135">
        <v>-2136</v>
      </c>
      <c r="D13" s="1">
        <v>-1556</v>
      </c>
      <c r="E13" s="120">
        <v>8610</v>
      </c>
      <c r="F13" s="31">
        <v>5500</v>
      </c>
      <c r="G13" s="31">
        <v>8116</v>
      </c>
      <c r="H13" s="31">
        <v>7588</v>
      </c>
      <c r="I13" s="31">
        <v>7133</v>
      </c>
      <c r="J13" s="31">
        <v>14000</v>
      </c>
      <c r="K13" s="31">
        <v>12000</v>
      </c>
      <c r="L13" s="31">
        <v>14250.130999999999</v>
      </c>
      <c r="M13" s="31">
        <v>7236</v>
      </c>
      <c r="N13" s="31">
        <v>15383</v>
      </c>
      <c r="O13" s="31">
        <v>13319</v>
      </c>
      <c r="P13" s="31">
        <v>15042</v>
      </c>
      <c r="Q13" s="31">
        <v>15752</v>
      </c>
      <c r="R13" s="31">
        <v>6000</v>
      </c>
      <c r="S13" s="31">
        <v>13000</v>
      </c>
      <c r="T13" s="31">
        <v>11000</v>
      </c>
      <c r="U13" s="31">
        <v>13000</v>
      </c>
      <c r="V13" s="31">
        <v>9000</v>
      </c>
      <c r="W13" s="31">
        <v>14000</v>
      </c>
      <c r="X13" s="32">
        <v>10000</v>
      </c>
    </row>
    <row r="14" spans="1:24" ht="13.8" thickBot="1">
      <c r="A14" s="18" t="s">
        <v>5</v>
      </c>
      <c r="B14" s="16">
        <f t="shared" si="5"/>
        <v>0.17199423435645245</v>
      </c>
      <c r="C14" s="145">
        <v>-8308</v>
      </c>
      <c r="D14" s="7">
        <v>-5854</v>
      </c>
      <c r="E14" s="121">
        <v>27645</v>
      </c>
      <c r="F14" s="35">
        <v>23588</v>
      </c>
      <c r="G14" s="35">
        <v>22701</v>
      </c>
      <c r="H14" s="35">
        <v>23515</v>
      </c>
      <c r="I14" s="35">
        <v>22124</v>
      </c>
      <c r="J14" s="35">
        <v>25000</v>
      </c>
      <c r="K14" s="35">
        <v>22000</v>
      </c>
      <c r="L14" s="35">
        <v>21519</v>
      </c>
      <c r="M14" s="35">
        <v>12419</v>
      </c>
      <c r="N14" s="35">
        <v>20412</v>
      </c>
      <c r="O14" s="35">
        <v>18906</v>
      </c>
      <c r="P14" s="35">
        <v>20509</v>
      </c>
      <c r="Q14" s="35">
        <v>18102</v>
      </c>
      <c r="R14" s="35">
        <v>6000</v>
      </c>
      <c r="S14" s="35">
        <v>9000</v>
      </c>
      <c r="T14" s="35">
        <v>9000</v>
      </c>
      <c r="U14" s="35">
        <v>8000</v>
      </c>
      <c r="V14" s="35">
        <v>4000</v>
      </c>
      <c r="W14" s="35">
        <v>5000</v>
      </c>
      <c r="X14" s="36">
        <v>5000</v>
      </c>
    </row>
    <row r="15" spans="1:24" ht="13.8" thickBot="1">
      <c r="A15" s="19" t="s">
        <v>21</v>
      </c>
      <c r="B15" s="20">
        <f t="shared" si="5"/>
        <v>0.14136029999497574</v>
      </c>
      <c r="C15" s="146">
        <v>-32868</v>
      </c>
      <c r="D15" s="21">
        <v>-32265</v>
      </c>
      <c r="E15" s="122">
        <f t="shared" ref="E15" si="6">SUM(E12:E14)</f>
        <v>249886</v>
      </c>
      <c r="F15" s="50">
        <f t="shared" ref="F15" si="7">SUM(F12:F14)</f>
        <v>218937</v>
      </c>
      <c r="G15" s="50">
        <f t="shared" ref="G15:K15" si="8">SUM(G12:G14)</f>
        <v>237808</v>
      </c>
      <c r="H15" s="50">
        <f t="shared" si="8"/>
        <v>233136</v>
      </c>
      <c r="I15" s="50">
        <f t="shared" si="8"/>
        <v>221094</v>
      </c>
      <c r="J15" s="50">
        <f t="shared" si="8"/>
        <v>257000</v>
      </c>
      <c r="K15" s="50">
        <f t="shared" si="8"/>
        <v>228000</v>
      </c>
      <c r="L15" s="50">
        <v>249916.53599999999</v>
      </c>
      <c r="M15" s="50">
        <v>206152</v>
      </c>
      <c r="N15" s="50">
        <f>SUM(N12:N14)</f>
        <v>232567</v>
      </c>
      <c r="O15" s="50">
        <f>SUM(O12:O14)</f>
        <v>224184</v>
      </c>
      <c r="P15" s="50">
        <f>SUM(P12:P14)</f>
        <v>220066</v>
      </c>
      <c r="Q15" s="50">
        <f>SUM(Q12:Q14)</f>
        <v>221727</v>
      </c>
      <c r="R15" s="50">
        <f>SUM(R12:R14)</f>
        <v>117000</v>
      </c>
      <c r="S15" s="50">
        <f t="shared" ref="S15:X15" si="9">SUM(S12:S14)</f>
        <v>187000</v>
      </c>
      <c r="T15" s="50">
        <f t="shared" si="9"/>
        <v>150000</v>
      </c>
      <c r="U15" s="50">
        <f t="shared" si="9"/>
        <v>171000</v>
      </c>
      <c r="V15" s="50">
        <f t="shared" si="9"/>
        <v>86000</v>
      </c>
      <c r="W15" s="50">
        <f t="shared" si="9"/>
        <v>129000</v>
      </c>
      <c r="X15" s="51">
        <f t="shared" si="9"/>
        <v>120000</v>
      </c>
    </row>
    <row r="21" spans="4:25" ht="14.4">
      <c r="D21" s="190"/>
      <c r="E21" s="190"/>
    </row>
    <row r="22" spans="4:25" ht="17.399999999999999">
      <c r="D22" s="191"/>
      <c r="E22" s="191"/>
      <c r="W22" s="66"/>
      <c r="X22" s="31"/>
      <c r="Y22" s="31"/>
    </row>
    <row r="23" spans="4:25" ht="17.399999999999999">
      <c r="D23" s="191"/>
      <c r="E23" s="191"/>
      <c r="W23" s="66"/>
      <c r="X23" s="31"/>
      <c r="Y23" s="31"/>
    </row>
    <row r="24" spans="4:25" ht="17.399999999999999">
      <c r="D24" s="191"/>
      <c r="E24" s="191"/>
      <c r="W24" s="66"/>
      <c r="X24" s="31"/>
      <c r="Y24" s="31"/>
    </row>
    <row r="25" spans="4:25" ht="17.399999999999999">
      <c r="D25" s="191"/>
      <c r="E25" s="191"/>
      <c r="W25" s="66"/>
      <c r="X25" s="31"/>
      <c r="Y25" s="31"/>
    </row>
    <row r="26" spans="4:25" ht="17.399999999999999">
      <c r="D26" s="191"/>
      <c r="E26" s="191"/>
      <c r="W26" s="66"/>
      <c r="X26" s="31"/>
      <c r="Y26" s="31"/>
    </row>
    <row r="27" spans="4:25" ht="17.399999999999999">
      <c r="D27" s="191"/>
      <c r="E27" s="191"/>
      <c r="W27" s="66"/>
      <c r="X27" s="31"/>
      <c r="Y27" s="31"/>
    </row>
    <row r="28" spans="4:25" ht="17.399999999999999">
      <c r="D28" s="191"/>
      <c r="E28" s="191"/>
      <c r="W28" s="66"/>
      <c r="X28" s="31"/>
      <c r="Y28" s="31"/>
    </row>
    <row r="29" spans="4:25" ht="17.399999999999999">
      <c r="D29" s="191"/>
      <c r="E29" s="191"/>
      <c r="W29" s="66"/>
      <c r="X29" s="31"/>
      <c r="Y29" s="31"/>
    </row>
    <row r="30" spans="4:25" ht="17.399999999999999">
      <c r="D30" s="191"/>
      <c r="E30" s="191"/>
      <c r="W30" s="66"/>
      <c r="X30" s="31"/>
      <c r="Y30" s="31"/>
    </row>
    <row r="31" spans="4:25" ht="17.399999999999999">
      <c r="D31" s="191"/>
      <c r="E31" s="191"/>
      <c r="W31" s="66"/>
      <c r="X31" s="31"/>
      <c r="Y31" s="31"/>
    </row>
    <row r="32" spans="4:25" ht="17.399999999999999">
      <c r="D32" s="191"/>
      <c r="E32" s="191"/>
      <c r="W32" s="67"/>
      <c r="X32" s="31"/>
      <c r="Y32" s="31"/>
    </row>
    <row r="33" spans="4:25" ht="18">
      <c r="D33" s="191"/>
      <c r="E33" s="191"/>
      <c r="W33" s="68"/>
      <c r="X33" s="60"/>
      <c r="Y33" s="60"/>
    </row>
    <row r="34" spans="4:25">
      <c r="D34" s="191"/>
      <c r="E34" s="191"/>
    </row>
    <row r="35" spans="4:25">
      <c r="D35" s="191"/>
      <c r="E35" s="191"/>
    </row>
    <row r="36" spans="4:25">
      <c r="D36" s="191"/>
      <c r="E36" s="191"/>
    </row>
    <row r="37" spans="4:25">
      <c r="D37" s="191"/>
      <c r="E37" s="191"/>
    </row>
  </sheetData>
  <conditionalFormatting sqref="E1">
    <cfRule type="expression" dxfId="3" priority="2">
      <formula>ISBLANK(XFD1)=FALSE</formula>
    </cfRule>
  </conditionalFormatting>
  <conditionalFormatting sqref="E11">
    <cfRule type="expression" dxfId="2" priority="1">
      <formula>ISBLANK(XFD11)=FALSE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25"/>
  <sheetViews>
    <sheetView zoomScaleNormal="100" workbookViewId="0"/>
  </sheetViews>
  <sheetFormatPr defaultColWidth="9.109375" defaultRowHeight="13.2"/>
  <cols>
    <col min="1" max="1" width="18.10937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1" width="11.44140625" style="26" customWidth="1"/>
    <col min="12" max="13" width="10.6640625" style="26" customWidth="1"/>
    <col min="14" max="24" width="10.109375" style="26" bestFit="1" customWidth="1"/>
    <col min="25" max="16384" width="9.109375" style="26"/>
  </cols>
  <sheetData>
    <row r="1" spans="1:25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28">
        <v>39783</v>
      </c>
      <c r="W1" s="28">
        <v>39417</v>
      </c>
      <c r="X1" s="44">
        <v>39052</v>
      </c>
    </row>
    <row r="2" spans="1:25">
      <c r="A2" s="80" t="s">
        <v>10</v>
      </c>
      <c r="B2" s="81">
        <f t="shared" ref="B2:B12" si="0">IFERROR(((E2-F2)/F2),"")</f>
        <v>-4.6372106154714848E-2</v>
      </c>
      <c r="C2" s="155"/>
      <c r="D2" s="88"/>
      <c r="E2" s="120">
        <v>27022</v>
      </c>
      <c r="F2" s="31">
        <v>28336</v>
      </c>
      <c r="G2" s="31"/>
      <c r="H2" s="31"/>
      <c r="I2" s="31"/>
      <c r="J2" s="31"/>
      <c r="K2" s="31"/>
      <c r="L2" s="31"/>
      <c r="M2" s="31">
        <v>9190</v>
      </c>
      <c r="N2" s="31"/>
      <c r="O2" s="31">
        <v>24500</v>
      </c>
      <c r="P2" s="31">
        <v>25000</v>
      </c>
      <c r="Q2" s="31">
        <v>23100</v>
      </c>
      <c r="R2" s="31">
        <v>13500</v>
      </c>
      <c r="S2" s="31">
        <v>18500</v>
      </c>
      <c r="T2" s="31">
        <v>12000</v>
      </c>
      <c r="U2" s="31">
        <v>18400</v>
      </c>
      <c r="V2" s="31">
        <v>8900</v>
      </c>
      <c r="W2" s="31">
        <v>9000</v>
      </c>
      <c r="X2" s="32">
        <v>5700</v>
      </c>
    </row>
    <row r="3" spans="1:25">
      <c r="A3" s="80" t="s">
        <v>34</v>
      </c>
      <c r="B3" s="81">
        <f t="shared" si="0"/>
        <v>-0.14869608826479438</v>
      </c>
      <c r="C3" s="155"/>
      <c r="D3" s="88"/>
      <c r="E3" s="120">
        <v>6790</v>
      </c>
      <c r="F3" s="31">
        <v>7976</v>
      </c>
      <c r="G3" s="31"/>
      <c r="H3" s="31"/>
      <c r="I3" s="31"/>
      <c r="J3" s="31"/>
      <c r="K3" s="31"/>
      <c r="L3" s="31"/>
      <c r="M3" s="31">
        <v>49500</v>
      </c>
      <c r="N3" s="31"/>
      <c r="O3" s="31">
        <v>42000</v>
      </c>
      <c r="P3" s="31">
        <v>62000</v>
      </c>
      <c r="Q3" s="31">
        <v>55000</v>
      </c>
      <c r="R3" s="31">
        <v>31000</v>
      </c>
      <c r="S3" s="31">
        <v>62000</v>
      </c>
      <c r="T3" s="31">
        <v>71000</v>
      </c>
      <c r="U3" s="31">
        <v>62000</v>
      </c>
      <c r="V3" s="31">
        <v>57000</v>
      </c>
      <c r="W3" s="31">
        <v>55000</v>
      </c>
      <c r="X3" s="32">
        <v>58000</v>
      </c>
    </row>
    <row r="4" spans="1:25">
      <c r="A4" s="80" t="s">
        <v>27</v>
      </c>
      <c r="B4" s="81">
        <f t="shared" si="0"/>
        <v>0.31922589980104904</v>
      </c>
      <c r="C4" s="155"/>
      <c r="D4" s="88"/>
      <c r="E4" s="120">
        <v>7294</v>
      </c>
      <c r="F4" s="31">
        <v>5529</v>
      </c>
      <c r="G4" s="31"/>
      <c r="H4" s="31"/>
      <c r="I4" s="31"/>
      <c r="J4" s="31"/>
      <c r="K4" s="31"/>
      <c r="L4" s="31"/>
      <c r="M4" s="31"/>
      <c r="N4" s="31"/>
      <c r="O4" s="31">
        <v>1800</v>
      </c>
      <c r="P4" s="31"/>
      <c r="Q4" s="31">
        <v>1900</v>
      </c>
      <c r="R4" s="31">
        <v>1800</v>
      </c>
      <c r="S4" s="31"/>
      <c r="T4" s="31"/>
      <c r="U4" s="31">
        <v>1400</v>
      </c>
      <c r="V4" s="31">
        <v>1300</v>
      </c>
      <c r="W4" s="31"/>
      <c r="X4" s="32"/>
    </row>
    <row r="5" spans="1:25">
      <c r="A5" s="80" t="s">
        <v>4</v>
      </c>
      <c r="B5" s="81">
        <f t="shared" si="0"/>
        <v>1.0475352112676057</v>
      </c>
      <c r="C5" s="155"/>
      <c r="D5" s="88"/>
      <c r="E5" s="120">
        <v>3489</v>
      </c>
      <c r="F5" s="31">
        <v>1704</v>
      </c>
      <c r="G5" s="31"/>
      <c r="H5" s="31"/>
      <c r="I5" s="31"/>
      <c r="J5" s="31"/>
      <c r="K5" s="31"/>
      <c r="L5" s="31"/>
      <c r="M5" s="31">
        <v>10685</v>
      </c>
      <c r="N5" s="31"/>
      <c r="O5" s="31">
        <v>20100</v>
      </c>
      <c r="P5" s="31">
        <v>14000</v>
      </c>
      <c r="Q5" s="31">
        <v>24800</v>
      </c>
      <c r="R5" s="31">
        <v>15500</v>
      </c>
      <c r="S5" s="31">
        <v>27000</v>
      </c>
      <c r="T5" s="31">
        <v>24000</v>
      </c>
      <c r="U5" s="31">
        <v>26000</v>
      </c>
      <c r="V5" s="31">
        <v>27000</v>
      </c>
      <c r="W5" s="31">
        <v>27000</v>
      </c>
      <c r="X5" s="32">
        <v>25000</v>
      </c>
    </row>
    <row r="6" spans="1:25">
      <c r="A6" s="80" t="s">
        <v>8</v>
      </c>
      <c r="B6" s="81">
        <f t="shared" si="0"/>
        <v>0.25104362146221898</v>
      </c>
      <c r="C6" s="155"/>
      <c r="D6" s="88"/>
      <c r="E6" s="120">
        <v>65332</v>
      </c>
      <c r="F6" s="31">
        <v>52222</v>
      </c>
      <c r="G6" s="31"/>
      <c r="H6" s="31"/>
      <c r="I6" s="31"/>
      <c r="J6" s="31"/>
      <c r="K6" s="31"/>
      <c r="L6" s="31"/>
      <c r="M6" s="31">
        <v>23608</v>
      </c>
      <c r="N6" s="31"/>
      <c r="O6" s="31">
        <v>41600</v>
      </c>
      <c r="P6" s="31">
        <v>34000</v>
      </c>
      <c r="Q6" s="31">
        <v>28800</v>
      </c>
      <c r="R6" s="31">
        <v>24500</v>
      </c>
      <c r="S6" s="31">
        <v>25000</v>
      </c>
      <c r="T6" s="31">
        <v>21000</v>
      </c>
      <c r="U6" s="31">
        <v>18000</v>
      </c>
      <c r="V6" s="31">
        <v>16000</v>
      </c>
      <c r="W6" s="31">
        <v>12000</v>
      </c>
      <c r="X6" s="32">
        <v>6500</v>
      </c>
    </row>
    <row r="7" spans="1:25">
      <c r="A7" s="80" t="s">
        <v>25</v>
      </c>
      <c r="B7" s="81" t="str">
        <f t="shared" si="0"/>
        <v/>
      </c>
      <c r="C7" s="155"/>
      <c r="D7" s="88"/>
      <c r="E7" s="126"/>
      <c r="F7" s="31"/>
      <c r="G7" s="31"/>
      <c r="H7" s="31"/>
      <c r="I7" s="31"/>
      <c r="J7" s="31"/>
      <c r="K7" s="31"/>
      <c r="L7" s="31"/>
      <c r="M7" s="31">
        <v>1080</v>
      </c>
      <c r="N7" s="31"/>
      <c r="O7" s="31">
        <v>500</v>
      </c>
      <c r="P7" s="31">
        <v>1000</v>
      </c>
      <c r="Q7" s="31">
        <v>2900</v>
      </c>
      <c r="R7" s="31">
        <v>2000</v>
      </c>
      <c r="S7" s="31">
        <v>2000</v>
      </c>
      <c r="T7" s="31">
        <v>2000</v>
      </c>
      <c r="U7" s="31">
        <v>1000</v>
      </c>
      <c r="V7" s="31">
        <v>2500</v>
      </c>
      <c r="W7" s="31">
        <v>7000</v>
      </c>
      <c r="X7" s="32">
        <v>3000</v>
      </c>
      <c r="Y7" s="31"/>
    </row>
    <row r="8" spans="1:25">
      <c r="A8" s="80" t="s">
        <v>24</v>
      </c>
      <c r="B8" s="138" t="str">
        <f t="shared" si="0"/>
        <v/>
      </c>
      <c r="C8" s="155"/>
      <c r="D8" s="88"/>
      <c r="E8" s="126"/>
      <c r="F8" s="31"/>
      <c r="G8" s="31"/>
      <c r="H8" s="31"/>
      <c r="I8" s="31"/>
      <c r="J8" s="31"/>
      <c r="K8" s="31"/>
      <c r="L8" s="31"/>
      <c r="M8" s="31"/>
      <c r="N8" s="31"/>
      <c r="O8" s="31">
        <v>7000</v>
      </c>
      <c r="P8" s="31">
        <v>6000</v>
      </c>
      <c r="Q8" s="31">
        <v>8800</v>
      </c>
      <c r="R8" s="31">
        <v>7000</v>
      </c>
      <c r="S8" s="31">
        <v>6000</v>
      </c>
      <c r="T8" s="31">
        <v>6000</v>
      </c>
      <c r="U8" s="31">
        <v>5000</v>
      </c>
      <c r="V8" s="31">
        <v>4000</v>
      </c>
      <c r="W8" s="31"/>
      <c r="X8" s="32"/>
    </row>
    <row r="9" spans="1:25">
      <c r="A9" s="80" t="s">
        <v>33</v>
      </c>
      <c r="B9" s="138" t="str">
        <f t="shared" si="0"/>
        <v/>
      </c>
      <c r="C9" s="155"/>
      <c r="D9" s="88"/>
      <c r="E9" s="126"/>
      <c r="F9" s="31"/>
      <c r="G9" s="31"/>
      <c r="H9" s="31"/>
      <c r="I9" s="31"/>
      <c r="J9" s="31"/>
      <c r="K9" s="31"/>
      <c r="L9" s="31"/>
      <c r="M9" s="31"/>
      <c r="N9" s="31"/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/>
      <c r="X9" s="32"/>
    </row>
    <row r="10" spans="1:25">
      <c r="A10" s="80" t="s">
        <v>157</v>
      </c>
      <c r="B10" s="138" t="str">
        <f t="shared" si="0"/>
        <v/>
      </c>
      <c r="C10" s="155"/>
      <c r="D10" s="88"/>
      <c r="E10" s="126"/>
      <c r="F10" s="31"/>
      <c r="G10" s="31"/>
      <c r="H10" s="31"/>
      <c r="I10" s="31"/>
      <c r="J10" s="31"/>
      <c r="K10" s="31"/>
      <c r="L10" s="31"/>
      <c r="M10" s="31"/>
      <c r="N10" s="31"/>
      <c r="O10" s="31">
        <v>9900</v>
      </c>
      <c r="P10" s="31">
        <v>10500</v>
      </c>
      <c r="Q10" s="31">
        <v>9900</v>
      </c>
      <c r="R10" s="31">
        <v>5200</v>
      </c>
      <c r="S10" s="31">
        <v>8000</v>
      </c>
      <c r="T10" s="31">
        <v>8000</v>
      </c>
      <c r="U10" s="31">
        <v>5800</v>
      </c>
      <c r="V10" s="31"/>
      <c r="W10" s="31"/>
      <c r="X10" s="32"/>
    </row>
    <row r="11" spans="1:25" ht="13.8" thickBot="1">
      <c r="A11" s="83" t="s">
        <v>5</v>
      </c>
      <c r="B11" s="138">
        <f t="shared" si="0"/>
        <v>0.21630822435966712</v>
      </c>
      <c r="C11" s="155"/>
      <c r="D11" s="88"/>
      <c r="E11" s="120">
        <v>22509</v>
      </c>
      <c r="F11" s="35">
        <v>18506</v>
      </c>
      <c r="G11" s="35"/>
      <c r="H11" s="35"/>
      <c r="I11" s="35"/>
      <c r="J11" s="35"/>
      <c r="K11" s="35"/>
      <c r="L11" s="35"/>
      <c r="M11" s="35"/>
      <c r="N11" s="35"/>
      <c r="O11" s="35">
        <v>3000</v>
      </c>
      <c r="P11" s="35">
        <v>5000</v>
      </c>
      <c r="Q11" s="35">
        <v>2000</v>
      </c>
      <c r="R11" s="35">
        <v>2500</v>
      </c>
      <c r="S11" s="35">
        <v>3000</v>
      </c>
      <c r="T11" s="35">
        <v>6000</v>
      </c>
      <c r="U11" s="35">
        <v>5000</v>
      </c>
      <c r="V11" s="35">
        <v>6000</v>
      </c>
      <c r="W11" s="35">
        <v>6500</v>
      </c>
      <c r="X11" s="36">
        <v>6000</v>
      </c>
    </row>
    <row r="12" spans="1:25" ht="13.8" thickBot="1">
      <c r="A12" s="85" t="s">
        <v>92</v>
      </c>
      <c r="B12" s="192">
        <f t="shared" si="0"/>
        <v>0.158943932512492</v>
      </c>
      <c r="C12" s="136"/>
      <c r="D12" s="89"/>
      <c r="E12" s="137">
        <f>SUM(E2:E11)</f>
        <v>132436</v>
      </c>
      <c r="F12" s="50">
        <f>SUM(F2:F11)</f>
        <v>114273</v>
      </c>
      <c r="G12" s="50"/>
      <c r="H12" s="50"/>
      <c r="I12" s="50"/>
      <c r="J12" s="50"/>
      <c r="K12" s="50"/>
      <c r="L12" s="50"/>
      <c r="M12" s="50">
        <v>94063</v>
      </c>
      <c r="N12" s="39"/>
      <c r="O12" s="39">
        <v>150400</v>
      </c>
      <c r="P12" s="39">
        <f>SUM(P2:P11)</f>
        <v>157500</v>
      </c>
      <c r="Q12" s="39">
        <f>SUM(Q2:Q11)</f>
        <v>157200</v>
      </c>
      <c r="R12" s="39">
        <f>SUM(R2:R11)</f>
        <v>103000</v>
      </c>
      <c r="S12" s="39">
        <f t="shared" ref="S12:X12" si="1">SUM(S2:S11)</f>
        <v>151500</v>
      </c>
      <c r="T12" s="39">
        <f t="shared" si="1"/>
        <v>150000</v>
      </c>
      <c r="U12" s="39">
        <f t="shared" si="1"/>
        <v>142600</v>
      </c>
      <c r="V12" s="39">
        <f t="shared" si="1"/>
        <v>122700</v>
      </c>
      <c r="W12" s="39">
        <f t="shared" si="1"/>
        <v>116500</v>
      </c>
      <c r="X12" s="51">
        <f t="shared" si="1"/>
        <v>104200</v>
      </c>
    </row>
    <row r="13" spans="1:25">
      <c r="B13" s="176"/>
    </row>
    <row r="14" spans="1:25" ht="13.8" thickBot="1">
      <c r="B14" s="108"/>
      <c r="C14" s="3"/>
      <c r="D14" s="3"/>
      <c r="E14" s="3"/>
    </row>
    <row r="15" spans="1:25" ht="13.8" thickBot="1">
      <c r="A15" s="27" t="s">
        <v>91</v>
      </c>
      <c r="B15" s="12" t="s">
        <v>169</v>
      </c>
      <c r="C15" s="132" t="s">
        <v>170</v>
      </c>
      <c r="D15" s="133" t="s">
        <v>168</v>
      </c>
      <c r="E15" s="134">
        <v>45992</v>
      </c>
      <c r="F15" s="13">
        <v>45627</v>
      </c>
      <c r="G15" s="13">
        <v>45261</v>
      </c>
      <c r="H15" s="13">
        <v>44896</v>
      </c>
      <c r="I15" s="13">
        <v>44531</v>
      </c>
      <c r="J15" s="13">
        <v>44166</v>
      </c>
      <c r="K15" s="13">
        <v>43800</v>
      </c>
      <c r="L15" s="13">
        <v>43435</v>
      </c>
      <c r="M15" s="13">
        <v>43070</v>
      </c>
      <c r="N15" s="13">
        <v>42705</v>
      </c>
      <c r="O15" s="28">
        <v>42339</v>
      </c>
      <c r="P15" s="28">
        <f>P1</f>
        <v>41974</v>
      </c>
      <c r="Q15" s="28">
        <v>41609</v>
      </c>
      <c r="R15" s="28">
        <v>41244</v>
      </c>
      <c r="S15" s="28">
        <v>40878</v>
      </c>
      <c r="T15" s="28">
        <v>40513</v>
      </c>
      <c r="U15" s="28">
        <v>40148</v>
      </c>
      <c r="V15" s="28">
        <v>39783</v>
      </c>
      <c r="W15" s="28">
        <v>39417</v>
      </c>
      <c r="X15" s="44">
        <v>39052</v>
      </c>
    </row>
    <row r="16" spans="1:25">
      <c r="A16" s="29" t="s">
        <v>6</v>
      </c>
      <c r="B16" s="160">
        <f t="shared" ref="B16:B19" si="2">IFERROR(((E16-F16)/F16),"")</f>
        <v>0.47632586112629854</v>
      </c>
      <c r="C16" s="159"/>
      <c r="D16" s="31"/>
      <c r="E16" s="120">
        <v>13501</v>
      </c>
      <c r="F16" s="31">
        <v>9145</v>
      </c>
      <c r="G16" s="31"/>
      <c r="H16" s="31"/>
      <c r="I16" s="31"/>
      <c r="J16" s="31"/>
      <c r="K16" s="31"/>
      <c r="L16" s="31"/>
      <c r="M16" s="31">
        <v>9646</v>
      </c>
      <c r="N16" s="31"/>
      <c r="O16" s="31">
        <v>14400</v>
      </c>
      <c r="P16" s="31">
        <v>11500</v>
      </c>
      <c r="Q16" s="31">
        <v>15100</v>
      </c>
      <c r="R16" s="31">
        <v>13000</v>
      </c>
      <c r="S16" s="31">
        <v>16000</v>
      </c>
      <c r="T16" s="31">
        <v>16000</v>
      </c>
      <c r="U16" s="31">
        <v>17000</v>
      </c>
      <c r="V16" s="31">
        <v>13000</v>
      </c>
      <c r="W16" s="31">
        <v>13000</v>
      </c>
      <c r="X16" s="32">
        <v>15000</v>
      </c>
    </row>
    <row r="17" spans="1:24">
      <c r="A17" s="29" t="s">
        <v>93</v>
      </c>
      <c r="B17" s="160" t="str">
        <f t="shared" si="2"/>
        <v/>
      </c>
      <c r="C17" s="159"/>
      <c r="D17" s="31"/>
      <c r="E17" s="120"/>
      <c r="F17" s="31"/>
      <c r="G17" s="31"/>
      <c r="H17" s="31"/>
      <c r="I17" s="31"/>
      <c r="J17" s="31"/>
      <c r="K17" s="31"/>
      <c r="L17" s="31"/>
      <c r="M17" s="31">
        <v>428</v>
      </c>
      <c r="N17" s="31"/>
      <c r="O17" s="31">
        <v>1800</v>
      </c>
      <c r="P17" s="31">
        <v>1500</v>
      </c>
      <c r="Q17" s="31">
        <v>1000</v>
      </c>
      <c r="R17" s="31">
        <v>1000</v>
      </c>
      <c r="S17" s="31">
        <v>2500</v>
      </c>
      <c r="T17" s="31">
        <v>1000</v>
      </c>
      <c r="U17" s="31">
        <v>1000</v>
      </c>
      <c r="V17" s="31">
        <v>1000</v>
      </c>
      <c r="W17" s="31">
        <v>1000</v>
      </c>
      <c r="X17" s="32">
        <v>2000</v>
      </c>
    </row>
    <row r="18" spans="1:24" ht="13.8" thickBot="1">
      <c r="A18" s="33" t="s">
        <v>5</v>
      </c>
      <c r="B18" s="182">
        <f t="shared" si="2"/>
        <v>3.8321678321678321</v>
      </c>
      <c r="C18" s="159"/>
      <c r="D18" s="31"/>
      <c r="E18" s="120">
        <v>691</v>
      </c>
      <c r="F18" s="35">
        <v>143</v>
      </c>
      <c r="G18" s="35"/>
      <c r="H18" s="35"/>
      <c r="I18" s="35"/>
      <c r="J18" s="35"/>
      <c r="K18" s="35"/>
      <c r="L18" s="35"/>
      <c r="M18" s="35"/>
      <c r="N18" s="35"/>
      <c r="O18" s="35">
        <v>500</v>
      </c>
      <c r="P18" s="35">
        <v>500</v>
      </c>
      <c r="Q18" s="35">
        <v>500</v>
      </c>
      <c r="R18" s="35">
        <v>0</v>
      </c>
      <c r="S18" s="35">
        <v>1000</v>
      </c>
      <c r="T18" s="35">
        <v>1000</v>
      </c>
      <c r="U18" s="35">
        <v>900</v>
      </c>
      <c r="V18" s="35">
        <v>100</v>
      </c>
      <c r="W18" s="35">
        <v>1000</v>
      </c>
      <c r="X18" s="36">
        <v>1000</v>
      </c>
    </row>
    <row r="19" spans="1:24" ht="13.8" thickBot="1">
      <c r="A19" s="37" t="s">
        <v>92</v>
      </c>
      <c r="B19" s="38">
        <f t="shared" si="2"/>
        <v>0.52799310938845823</v>
      </c>
      <c r="C19" s="178"/>
      <c r="D19" s="39"/>
      <c r="E19" s="124">
        <f t="shared" ref="E19" si="3">SUM(E16:E18)</f>
        <v>14192</v>
      </c>
      <c r="F19" s="50">
        <f>SUM(F16:F18)</f>
        <v>9288</v>
      </c>
      <c r="G19" s="50"/>
      <c r="H19" s="50"/>
      <c r="I19" s="50"/>
      <c r="J19" s="50"/>
      <c r="K19" s="50"/>
      <c r="L19" s="50"/>
      <c r="M19" s="50">
        <v>10074</v>
      </c>
      <c r="N19" s="39"/>
      <c r="O19" s="39">
        <v>16700</v>
      </c>
      <c r="P19" s="39">
        <f>SUM(P16:P18)</f>
        <v>13500</v>
      </c>
      <c r="Q19" s="39">
        <f>SUM(Q16:Q18)</f>
        <v>16600</v>
      </c>
      <c r="R19" s="39">
        <f>SUM(R16:R18)</f>
        <v>14000</v>
      </c>
      <c r="S19" s="39">
        <f t="shared" ref="S19:X19" si="4">SUM(S16:S18)</f>
        <v>19500</v>
      </c>
      <c r="T19" s="39">
        <f t="shared" si="4"/>
        <v>18000</v>
      </c>
      <c r="U19" s="39">
        <f t="shared" si="4"/>
        <v>18900</v>
      </c>
      <c r="V19" s="39">
        <f t="shared" si="4"/>
        <v>14100</v>
      </c>
      <c r="W19" s="39">
        <f t="shared" si="4"/>
        <v>15000</v>
      </c>
      <c r="X19" s="40">
        <f t="shared" si="4"/>
        <v>18000</v>
      </c>
    </row>
    <row r="20" spans="1:24">
      <c r="A20" s="26"/>
      <c r="B20" s="26" t="s">
        <v>180</v>
      </c>
      <c r="C20" s="26"/>
      <c r="D20" s="26"/>
      <c r="E20" s="26"/>
    </row>
    <row r="21" spans="1:24">
      <c r="A21" s="26"/>
      <c r="B21" s="26"/>
      <c r="C21" s="26"/>
      <c r="D21" s="26"/>
      <c r="E21" s="26"/>
    </row>
    <row r="22" spans="1:24">
      <c r="A22" s="26"/>
      <c r="B22" s="26"/>
      <c r="C22" s="26"/>
      <c r="D22" s="26"/>
      <c r="E22" s="26"/>
    </row>
    <row r="25" spans="1:24">
      <c r="E25" s="1"/>
    </row>
  </sheetData>
  <conditionalFormatting sqref="E1">
    <cfRule type="expression" dxfId="1" priority="2">
      <formula>ISBLANK(XFD1)=FALSE</formula>
    </cfRule>
  </conditionalFormatting>
  <conditionalFormatting sqref="E15">
    <cfRule type="expression" dxfId="0" priority="1">
      <formula>ISBLANK(XFD15)=FALSE</formula>
    </cfRule>
  </conditionalFormatting>
  <pageMargins left="0.75" right="0.75" top="1" bottom="1" header="0.5" footer="0.5"/>
  <pageSetup paperSize="9" scale="73" fitToHeight="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9"/>
  <sheetViews>
    <sheetView zoomScaleNormal="100" workbookViewId="0"/>
  </sheetViews>
  <sheetFormatPr defaultColWidth="8.6640625" defaultRowHeight="13.2"/>
  <cols>
    <col min="1" max="1" width="25" customWidth="1"/>
    <col min="2" max="2" width="10.6640625" customWidth="1"/>
    <col min="3" max="4" width="11.33203125" bestFit="1" customWidth="1"/>
    <col min="5" max="5" width="11.33203125" customWidth="1"/>
    <col min="6" max="11" width="11.44140625" customWidth="1"/>
    <col min="12" max="13" width="10.6640625" customWidth="1"/>
    <col min="14" max="24" width="10.109375" bestFit="1" customWidth="1"/>
    <col min="28" max="28" width="21.44140625" bestFit="1" customWidth="1"/>
  </cols>
  <sheetData>
    <row r="1" spans="1:31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13">
        <v>42339</v>
      </c>
      <c r="P1" s="13">
        <v>41974</v>
      </c>
      <c r="Q1" s="13">
        <v>41609</v>
      </c>
      <c r="R1" s="13">
        <v>41244</v>
      </c>
      <c r="S1" s="13">
        <v>40878</v>
      </c>
      <c r="T1" s="13">
        <v>40513</v>
      </c>
      <c r="U1" s="13">
        <v>40148</v>
      </c>
      <c r="V1" s="13">
        <v>39783</v>
      </c>
      <c r="W1" s="13">
        <v>39417</v>
      </c>
      <c r="X1" s="14">
        <v>39052</v>
      </c>
    </row>
    <row r="2" spans="1:31">
      <c r="A2" s="9" t="s">
        <v>10</v>
      </c>
      <c r="B2" s="15" t="str">
        <f t="shared" ref="B2:B27" si="0">IFERROR(((E2-F2)/F2),"")</f>
        <v/>
      </c>
      <c r="C2" s="135">
        <v>0</v>
      </c>
      <c r="D2" s="1">
        <v>0</v>
      </c>
      <c r="E2" s="120"/>
      <c r="F2" s="97"/>
      <c r="G2" s="1"/>
      <c r="H2" s="1"/>
      <c r="I2" s="1">
        <f>184885*(42*0.453592/1000)</f>
        <v>3522.2189906399999</v>
      </c>
      <c r="J2" s="97">
        <v>5612</v>
      </c>
      <c r="K2" s="97">
        <v>9338</v>
      </c>
      <c r="L2" s="1">
        <v>13092</v>
      </c>
      <c r="M2" s="1">
        <v>19914</v>
      </c>
      <c r="N2" s="1">
        <v>31538</v>
      </c>
      <c r="O2" s="1">
        <v>21896</v>
      </c>
      <c r="P2" s="1">
        <v>43201</v>
      </c>
      <c r="Q2" s="1">
        <v>26431</v>
      </c>
      <c r="R2" s="1">
        <v>39427</v>
      </c>
      <c r="S2" s="1">
        <v>39027</v>
      </c>
      <c r="T2" s="1">
        <v>54824.863883847553</v>
      </c>
      <c r="U2" s="1">
        <v>49012.704174228675</v>
      </c>
      <c r="V2" s="1">
        <v>58845.735027223229</v>
      </c>
      <c r="W2" s="1">
        <v>55434.664246823959</v>
      </c>
      <c r="X2" s="17">
        <v>52195.099818511793</v>
      </c>
      <c r="Z2">
        <v>3523</v>
      </c>
      <c r="AB2" s="3" t="s">
        <v>163</v>
      </c>
      <c r="AD2">
        <v>206882</v>
      </c>
      <c r="AE2">
        <v>184885</v>
      </c>
    </row>
    <row r="3" spans="1:31">
      <c r="A3" s="9" t="s">
        <v>31</v>
      </c>
      <c r="B3" s="15">
        <f t="shared" si="0"/>
        <v>-0.2840437306249593</v>
      </c>
      <c r="C3" s="135">
        <v>-1337.4860489852399</v>
      </c>
      <c r="D3" s="1">
        <v>-1024.5753525407399</v>
      </c>
      <c r="E3" s="120">
        <v>2723.5137390383998</v>
      </c>
      <c r="F3" s="97">
        <v>3804.0224739085797</v>
      </c>
      <c r="G3" s="1">
        <v>3819.3584319382799</v>
      </c>
      <c r="H3" s="1">
        <v>3824.6926782094797</v>
      </c>
      <c r="I3" s="1">
        <f>155749*(42*0.453592/1000)</f>
        <v>2967.153017136</v>
      </c>
      <c r="J3" s="97">
        <v>5563</v>
      </c>
      <c r="K3" s="97">
        <v>5012</v>
      </c>
      <c r="L3" s="1">
        <v>5660</v>
      </c>
      <c r="M3" s="1">
        <v>5031</v>
      </c>
      <c r="N3" s="1">
        <v>5317</v>
      </c>
      <c r="O3" s="1">
        <v>9185</v>
      </c>
      <c r="P3" s="1">
        <v>6555</v>
      </c>
      <c r="Q3" s="1">
        <v>7661</v>
      </c>
      <c r="R3" s="1">
        <v>2382</v>
      </c>
      <c r="S3" s="1">
        <v>6365</v>
      </c>
      <c r="T3" s="1">
        <v>4954.6279491833029</v>
      </c>
      <c r="U3" s="1">
        <v>6669.6914700544467</v>
      </c>
      <c r="V3" s="1">
        <v>7374.7731397459165</v>
      </c>
      <c r="W3" s="1">
        <v>8003.6297640653356</v>
      </c>
      <c r="X3" s="17">
        <v>6402.9038112522685</v>
      </c>
      <c r="Z3">
        <v>2968</v>
      </c>
      <c r="AB3">
        <f>42*0.453592/1000</f>
        <v>1.9050864000000001E-2</v>
      </c>
      <c r="AD3">
        <v>200762</v>
      </c>
      <c r="AE3">
        <v>155749</v>
      </c>
    </row>
    <row r="4" spans="1:31">
      <c r="A4" s="80" t="s">
        <v>160</v>
      </c>
      <c r="B4" s="15">
        <f t="shared" si="0"/>
        <v>0.10978046084247943</v>
      </c>
      <c r="C4" s="135">
        <v>-15422.144208738988</v>
      </c>
      <c r="D4" s="1">
        <v>13117.883175737341</v>
      </c>
      <c r="E4" s="120">
        <v>262285.25112161523</v>
      </c>
      <c r="F4" s="97">
        <v>236339.76302169156</v>
      </c>
      <c r="G4" s="1">
        <v>138508.96247446103</v>
      </c>
      <c r="H4" s="1">
        <v>103527.92797190843</v>
      </c>
      <c r="I4" s="1">
        <f>3406666*(42*0.453592/1000)</f>
        <v>64899.930659424004</v>
      </c>
      <c r="J4" s="97">
        <v>27202</v>
      </c>
      <c r="K4" s="97">
        <v>6193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7"/>
      <c r="Z4">
        <v>64918</v>
      </c>
      <c r="AD4">
        <v>5434286</v>
      </c>
      <c r="AE4">
        <v>3406666</v>
      </c>
    </row>
    <row r="5" spans="1:31">
      <c r="A5" s="9" t="s">
        <v>47</v>
      </c>
      <c r="B5" s="15">
        <f t="shared" si="0"/>
        <v>-0.12293170905858605</v>
      </c>
      <c r="C5" s="135">
        <v>-2412.7367411023806</v>
      </c>
      <c r="D5" s="1">
        <v>-2214.72189916362</v>
      </c>
      <c r="E5" s="120">
        <v>13759.89781623534</v>
      </c>
      <c r="F5" s="97">
        <v>15688.513606467239</v>
      </c>
      <c r="G5" s="1">
        <v>17572.74084737094</v>
      </c>
      <c r="H5" s="1">
        <v>21357.14091535332</v>
      </c>
      <c r="I5" s="1">
        <f>819840*(42*0.453592/1000)</f>
        <v>15618.66034176</v>
      </c>
      <c r="J5" s="97">
        <v>21394</v>
      </c>
      <c r="K5" s="97">
        <v>20219</v>
      </c>
      <c r="L5" s="1">
        <v>28718</v>
      </c>
      <c r="M5" s="1">
        <v>26069</v>
      </c>
      <c r="N5" s="1">
        <v>22887</v>
      </c>
      <c r="O5" s="1">
        <v>32643</v>
      </c>
      <c r="P5" s="1">
        <v>26946</v>
      </c>
      <c r="Q5" s="1">
        <v>33749</v>
      </c>
      <c r="R5" s="1">
        <v>7946</v>
      </c>
      <c r="S5" s="1">
        <v>33825</v>
      </c>
      <c r="T5" s="1">
        <v>30985.480943738658</v>
      </c>
      <c r="U5" s="1">
        <v>39389.292196007256</v>
      </c>
      <c r="V5" s="1">
        <v>30185.117967332124</v>
      </c>
      <c r="W5" s="1">
        <v>40437.386569872957</v>
      </c>
      <c r="X5" s="17">
        <v>41599.81851179673</v>
      </c>
      <c r="Z5">
        <v>15623</v>
      </c>
      <c r="AD5">
        <v>1121058</v>
      </c>
      <c r="AE5">
        <v>819840</v>
      </c>
    </row>
    <row r="6" spans="1:31">
      <c r="A6" s="9" t="s">
        <v>11</v>
      </c>
      <c r="B6" s="15">
        <f t="shared" si="0"/>
        <v>-0.12215838720882505</v>
      </c>
      <c r="C6" s="135">
        <v>-29399.679272839276</v>
      </c>
      <c r="D6" s="1">
        <v>-28257.712400573015</v>
      </c>
      <c r="E6" s="120">
        <v>209769.36797109677</v>
      </c>
      <c r="F6" s="97">
        <v>238960.38296033442</v>
      </c>
      <c r="G6" s="1">
        <v>259630.83492266844</v>
      </c>
      <c r="H6" s="1">
        <v>217681.04583702245</v>
      </c>
      <c r="I6" s="1">
        <f>12686611*(42*0.453592/1000)</f>
        <v>241690.900781904</v>
      </c>
      <c r="J6" s="97">
        <v>280513</v>
      </c>
      <c r="K6" s="97">
        <v>281137</v>
      </c>
      <c r="L6" s="1">
        <v>257907</v>
      </c>
      <c r="M6" s="1">
        <v>287730</v>
      </c>
      <c r="N6" s="1">
        <v>256955</v>
      </c>
      <c r="O6" s="1">
        <v>227837</v>
      </c>
      <c r="P6" s="1">
        <v>285253</v>
      </c>
      <c r="Q6" s="1">
        <v>217565</v>
      </c>
      <c r="R6" s="1">
        <v>323328</v>
      </c>
      <c r="S6" s="1">
        <v>198338</v>
      </c>
      <c r="T6" s="1">
        <v>222977.31397459164</v>
      </c>
      <c r="U6" s="1">
        <v>198013.611615245</v>
      </c>
      <c r="V6" s="1">
        <v>248474.59165154264</v>
      </c>
      <c r="W6" s="1">
        <v>172649.72776769509</v>
      </c>
      <c r="X6" s="17">
        <v>179986.388384755</v>
      </c>
      <c r="Z6">
        <v>241759</v>
      </c>
      <c r="AD6">
        <v>11426299</v>
      </c>
      <c r="AE6">
        <v>12686611</v>
      </c>
    </row>
    <row r="7" spans="1:31">
      <c r="A7" s="9" t="s">
        <v>8</v>
      </c>
      <c r="B7" s="15">
        <f t="shared" si="0"/>
        <v>-0.15945262981007732</v>
      </c>
      <c r="C7" s="135">
        <v>-27687.481474181754</v>
      </c>
      <c r="D7" s="1">
        <v>-72135.736258860095</v>
      </c>
      <c r="E7" s="120">
        <v>333904.11796767561</v>
      </c>
      <c r="F7" s="97">
        <v>397246.04443438991</v>
      </c>
      <c r="G7" s="1">
        <v>392730.24299910787</v>
      </c>
      <c r="H7" s="1">
        <v>373370.83446495753</v>
      </c>
      <c r="I7" s="1">
        <f>19006350*(42*0.453592/1000)</f>
        <v>362087.38898640004</v>
      </c>
      <c r="J7" s="97">
        <v>398858</v>
      </c>
      <c r="K7" s="97">
        <v>478941</v>
      </c>
      <c r="L7" s="1">
        <v>401534</v>
      </c>
      <c r="M7" s="1">
        <v>472138</v>
      </c>
      <c r="N7" s="1">
        <v>436331</v>
      </c>
      <c r="O7" s="1">
        <v>342689</v>
      </c>
      <c r="P7" s="1">
        <v>434521</v>
      </c>
      <c r="Q7" s="1">
        <v>350521</v>
      </c>
      <c r="R7" s="1">
        <v>335047</v>
      </c>
      <c r="S7" s="1">
        <v>308711</v>
      </c>
      <c r="T7" s="1">
        <v>281613.43012704176</v>
      </c>
      <c r="U7" s="1">
        <v>251828.4936479129</v>
      </c>
      <c r="V7" s="1">
        <v>255830.30852994556</v>
      </c>
      <c r="W7" s="1">
        <v>222196.00725952812</v>
      </c>
      <c r="X7" s="17">
        <v>177566.24319419239</v>
      </c>
      <c r="Z7">
        <v>362190</v>
      </c>
      <c r="AD7">
        <v>19598614</v>
      </c>
      <c r="AE7">
        <v>19006350</v>
      </c>
    </row>
    <row r="8" spans="1:31">
      <c r="A8" s="9" t="s">
        <v>2</v>
      </c>
      <c r="B8" s="15">
        <f t="shared" si="0"/>
        <v>-9.3196335031892633E-2</v>
      </c>
      <c r="C8" s="135">
        <v>-21759.171626285941</v>
      </c>
      <c r="D8" s="1">
        <v>-23491.944374846629</v>
      </c>
      <c r="E8" s="120">
        <v>77567.961203534331</v>
      </c>
      <c r="F8" s="97">
        <v>85539.9732049632</v>
      </c>
      <c r="G8" s="1">
        <v>100803.93796088154</v>
      </c>
      <c r="H8" s="1">
        <v>73239.448965010015</v>
      </c>
      <c r="I8" s="1">
        <f>4584105*(42*0.453592/1000)</f>
        <v>87331.160916720008</v>
      </c>
      <c r="J8" s="97">
        <v>85113</v>
      </c>
      <c r="K8" s="97">
        <v>138691</v>
      </c>
      <c r="L8" s="1">
        <v>91737</v>
      </c>
      <c r="M8" s="1">
        <v>146638</v>
      </c>
      <c r="N8" s="1">
        <v>138310</v>
      </c>
      <c r="O8" s="1">
        <v>150907</v>
      </c>
      <c r="P8" s="1">
        <v>216136</v>
      </c>
      <c r="Q8" s="1">
        <v>185646</v>
      </c>
      <c r="R8" s="1">
        <v>210495</v>
      </c>
      <c r="S8" s="1">
        <v>191877</v>
      </c>
      <c r="T8" s="1">
        <v>200033.57531760435</v>
      </c>
      <c r="U8" s="1">
        <v>199690.56261343011</v>
      </c>
      <c r="V8" s="1">
        <v>257507.25952813067</v>
      </c>
      <c r="W8" s="1">
        <v>201939.20145190562</v>
      </c>
      <c r="X8" s="17">
        <v>179109.80036297641</v>
      </c>
      <c r="Z8">
        <v>87356</v>
      </c>
      <c r="AD8">
        <v>3844413</v>
      </c>
      <c r="AE8">
        <v>4584105</v>
      </c>
    </row>
    <row r="9" spans="1:31">
      <c r="A9" s="9" t="s">
        <v>16</v>
      </c>
      <c r="B9" s="15">
        <f t="shared" si="0"/>
        <v>9.8055510196936674E-2</v>
      </c>
      <c r="C9" s="135">
        <v>-49760.287730334676</v>
      </c>
      <c r="D9" s="1">
        <v>-25305.435700018308</v>
      </c>
      <c r="E9" s="120">
        <v>305922.43376075767</v>
      </c>
      <c r="F9" s="97">
        <v>278603.79636534984</v>
      </c>
      <c r="G9" s="1">
        <v>294957.45238007663</v>
      </c>
      <c r="H9" s="1">
        <v>187218.59419816476</v>
      </c>
      <c r="I9" s="1">
        <f>13800473*(42*0.453592/1000)</f>
        <v>262910.934258672</v>
      </c>
      <c r="J9" s="97">
        <v>215795</v>
      </c>
      <c r="K9" s="97">
        <v>268636</v>
      </c>
      <c r="L9" s="1">
        <v>198985</v>
      </c>
      <c r="M9" s="1">
        <v>318163</v>
      </c>
      <c r="N9" s="1">
        <v>230104</v>
      </c>
      <c r="O9" s="1">
        <v>270046</v>
      </c>
      <c r="P9" s="1">
        <v>259661</v>
      </c>
      <c r="Q9" s="1">
        <v>244778</v>
      </c>
      <c r="R9" s="1">
        <v>206665</v>
      </c>
      <c r="S9" s="1">
        <v>196870.23593466423</v>
      </c>
      <c r="T9" s="1">
        <v>200452.81306715062</v>
      </c>
      <c r="U9" s="1">
        <v>186141.5607985481</v>
      </c>
      <c r="V9" s="1">
        <v>272980.94373865699</v>
      </c>
      <c r="W9" s="1">
        <v>197594.37386569873</v>
      </c>
      <c r="X9" s="17">
        <v>220023.59346642467</v>
      </c>
      <c r="Z9">
        <v>262985</v>
      </c>
      <c r="AD9">
        <v>9827294</v>
      </c>
      <c r="AE9">
        <v>13800473</v>
      </c>
    </row>
    <row r="10" spans="1:31">
      <c r="A10" s="9" t="s">
        <v>171</v>
      </c>
      <c r="B10" s="15">
        <f t="shared" si="0"/>
        <v>0.13502001763140231</v>
      </c>
      <c r="C10" s="135">
        <v>-41519.658327391895</v>
      </c>
      <c r="D10" s="1">
        <v>-48796.198920333467</v>
      </c>
      <c r="E10" s="120">
        <v>235738.36485637282</v>
      </c>
      <c r="F10" s="97">
        <v>207695.33681733606</v>
      </c>
      <c r="G10" s="1">
        <v>332470.74884196557</v>
      </c>
      <c r="H10" s="1">
        <v>179770.13846825418</v>
      </c>
      <c r="I10" s="1">
        <f>10188230*(42*0.453592/1000)</f>
        <v>194094.58413072</v>
      </c>
      <c r="J10" s="97">
        <v>234693</v>
      </c>
      <c r="K10" s="97">
        <v>239575</v>
      </c>
      <c r="L10" s="1">
        <v>176423</v>
      </c>
      <c r="M10" s="1">
        <v>165123</v>
      </c>
      <c r="N10" s="1">
        <v>106448</v>
      </c>
      <c r="O10" s="1">
        <v>82571</v>
      </c>
      <c r="P10" s="1">
        <v>67859</v>
      </c>
      <c r="Q10" s="1">
        <v>47526</v>
      </c>
      <c r="R10" s="1"/>
      <c r="S10" s="1"/>
      <c r="T10" s="1"/>
      <c r="U10" s="1"/>
      <c r="V10" s="1"/>
      <c r="W10" s="1"/>
      <c r="X10" s="17"/>
      <c r="Z10">
        <v>194150</v>
      </c>
      <c r="AD10">
        <v>9436317</v>
      </c>
      <c r="AE10">
        <v>10188230</v>
      </c>
    </row>
    <row r="11" spans="1:31">
      <c r="A11" s="10" t="s">
        <v>9</v>
      </c>
      <c r="B11" s="15">
        <f t="shared" si="0"/>
        <v>0.38356625694561369</v>
      </c>
      <c r="C11" s="135">
        <v>370.53960705299994</v>
      </c>
      <c r="D11" s="1">
        <v>-10.154118794819965</v>
      </c>
      <c r="E11" s="120">
        <v>1095.7875402612599</v>
      </c>
      <c r="F11" s="97">
        <v>792.00221511641996</v>
      </c>
      <c r="G11" s="1">
        <v>1816.6156694162398</v>
      </c>
      <c r="H11" s="1">
        <v>3243.3360381668399</v>
      </c>
      <c r="I11" s="1">
        <f>64144*(42*0.453592/1000)</f>
        <v>1221.998620416</v>
      </c>
      <c r="J11" s="97">
        <v>4151</v>
      </c>
      <c r="K11" s="97">
        <v>3316</v>
      </c>
      <c r="L11" s="1">
        <v>2115</v>
      </c>
      <c r="M11" s="1">
        <v>3964</v>
      </c>
      <c r="N11" s="1">
        <v>5279</v>
      </c>
      <c r="O11" s="41">
        <v>4097</v>
      </c>
      <c r="P11" s="41">
        <v>5831</v>
      </c>
      <c r="Q11" s="41">
        <v>9585</v>
      </c>
      <c r="R11" s="41">
        <v>1391</v>
      </c>
      <c r="S11" s="41">
        <v>7946.4609800362978</v>
      </c>
      <c r="T11" s="41">
        <v>3944.64609800363</v>
      </c>
      <c r="U11" s="41">
        <v>9070.7803992740464</v>
      </c>
      <c r="V11" s="41">
        <v>8994.5553539019966</v>
      </c>
      <c r="W11" s="1">
        <v>6669.6914700544467</v>
      </c>
      <c r="X11" s="17">
        <v>8365.6987295825766</v>
      </c>
      <c r="Z11">
        <v>1222</v>
      </c>
      <c r="AD11">
        <v>170246</v>
      </c>
      <c r="AE11">
        <v>64144</v>
      </c>
    </row>
    <row r="12" spans="1:31">
      <c r="A12" s="10" t="s">
        <v>25</v>
      </c>
      <c r="B12" s="15" t="str">
        <f t="shared" si="0"/>
        <v/>
      </c>
      <c r="C12" s="135">
        <v>0</v>
      </c>
      <c r="D12" s="1">
        <v>0</v>
      </c>
      <c r="E12" s="120"/>
      <c r="F12" s="97"/>
      <c r="G12" s="1"/>
      <c r="H12" s="1">
        <f>0*(42*0.453592/1000)</f>
        <v>0</v>
      </c>
      <c r="I12" s="1">
        <f>0*(42*0.453592/1000)</f>
        <v>0</v>
      </c>
      <c r="J12" s="97"/>
      <c r="K12" s="97"/>
      <c r="L12" s="1">
        <v>12863</v>
      </c>
      <c r="M12" s="1">
        <v>12139</v>
      </c>
      <c r="N12" s="1">
        <v>16979</v>
      </c>
      <c r="O12" s="41">
        <v>15340</v>
      </c>
      <c r="P12" s="41">
        <v>23534</v>
      </c>
      <c r="Q12" s="41">
        <v>24868</v>
      </c>
      <c r="R12" s="41">
        <v>14692</v>
      </c>
      <c r="S12" s="41">
        <v>19342.105263157893</v>
      </c>
      <c r="T12" s="41">
        <v>20961.887477313976</v>
      </c>
      <c r="U12" s="41">
        <v>23267.695099818513</v>
      </c>
      <c r="V12" s="41">
        <v>24163.33938294011</v>
      </c>
      <c r="W12" s="1">
        <v>14978.221415607986</v>
      </c>
      <c r="X12" s="17">
        <v>20028.130671506351</v>
      </c>
    </row>
    <row r="13" spans="1:31">
      <c r="A13" s="10" t="s">
        <v>48</v>
      </c>
      <c r="B13" s="15">
        <f t="shared" si="0"/>
        <v>-0.42860219994830406</v>
      </c>
      <c r="C13" s="135">
        <v>-85.652754411839965</v>
      </c>
      <c r="D13" s="1">
        <v>-249.69987813078001</v>
      </c>
      <c r="E13" s="120">
        <v>758.05354777614002</v>
      </c>
      <c r="F13" s="97">
        <v>1326.66514940652</v>
      </c>
      <c r="G13" s="1">
        <v>1748.22301186764</v>
      </c>
      <c r="H13" s="1">
        <v>1755.90051632226</v>
      </c>
      <c r="I13" s="1">
        <f>56951*(42*0.453592/1000)</f>
        <v>1084.965755664</v>
      </c>
      <c r="J13" s="97">
        <v>2102</v>
      </c>
      <c r="K13" s="97">
        <v>1944</v>
      </c>
      <c r="L13" s="1">
        <v>3354</v>
      </c>
      <c r="M13" s="1">
        <v>1791</v>
      </c>
      <c r="N13" s="1">
        <v>5088</v>
      </c>
      <c r="O13" s="41">
        <v>5469</v>
      </c>
      <c r="P13" s="41">
        <v>5869</v>
      </c>
      <c r="Q13" s="41">
        <v>7451</v>
      </c>
      <c r="R13" s="41">
        <v>38</v>
      </c>
      <c r="S13" s="41">
        <v>13701.451905626134</v>
      </c>
      <c r="T13" s="41">
        <v>5411.9782214156075</v>
      </c>
      <c r="U13" s="41">
        <v>14235.027223230491</v>
      </c>
      <c r="V13" s="41">
        <v>5850.2722323049002</v>
      </c>
      <c r="W13" s="1">
        <v>4058.9836660617061</v>
      </c>
      <c r="X13" s="17">
        <v>6574.410163339383</v>
      </c>
      <c r="Z13">
        <v>1085</v>
      </c>
      <c r="AD13">
        <v>92169</v>
      </c>
      <c r="AE13">
        <v>56951</v>
      </c>
    </row>
    <row r="14" spans="1:31">
      <c r="A14" s="10" t="s">
        <v>49</v>
      </c>
      <c r="B14" s="15">
        <f t="shared" si="0"/>
        <v>-0.19462547580272485</v>
      </c>
      <c r="C14" s="135">
        <v>-1684.0596495769187</v>
      </c>
      <c r="D14" s="1">
        <v>-2638.2039004582803</v>
      </c>
      <c r="E14" s="120">
        <v>15837.186670397399</v>
      </c>
      <c r="F14" s="97">
        <v>19664.375013826619</v>
      </c>
      <c r="G14" s="1">
        <v>21332.546229867181</v>
      </c>
      <c r="H14" s="1">
        <v>18660.298407670918</v>
      </c>
      <c r="I14" s="1">
        <f>1021936*(42*0.453592/1000)</f>
        <v>19468.763752704002</v>
      </c>
      <c r="J14" s="97">
        <v>25845</v>
      </c>
      <c r="K14" s="97">
        <v>34854</v>
      </c>
      <c r="L14" s="1">
        <v>37141</v>
      </c>
      <c r="M14" s="1">
        <v>36779</v>
      </c>
      <c r="N14" s="1">
        <v>32662</v>
      </c>
      <c r="O14" s="41">
        <v>49661</v>
      </c>
      <c r="P14" s="41">
        <v>45392</v>
      </c>
      <c r="Q14" s="41">
        <v>47298</v>
      </c>
      <c r="R14" s="41">
        <v>19971</v>
      </c>
      <c r="S14" s="41">
        <v>31557</v>
      </c>
      <c r="T14" s="41">
        <v>29270.417422867515</v>
      </c>
      <c r="U14" s="41">
        <v>49984.57350272232</v>
      </c>
      <c r="V14" s="41">
        <v>43505.444646098003</v>
      </c>
      <c r="W14" s="1">
        <v>39255.898366606169</v>
      </c>
      <c r="X14" s="17">
        <v>37502.722323049005</v>
      </c>
      <c r="Z14">
        <v>19474</v>
      </c>
      <c r="AD14">
        <v>979498</v>
      </c>
      <c r="AE14">
        <v>1021936</v>
      </c>
    </row>
    <row r="15" spans="1:31">
      <c r="A15" s="10" t="s">
        <v>50</v>
      </c>
      <c r="B15" s="15">
        <f t="shared" si="0"/>
        <v>3.4781992703573787E-2</v>
      </c>
      <c r="C15" s="135">
        <v>-338.21026447361999</v>
      </c>
      <c r="D15" s="1">
        <v>-33.586700629020015</v>
      </c>
      <c r="E15" s="120">
        <v>556.57144576109999</v>
      </c>
      <c r="F15" s="97">
        <v>537.86348205282002</v>
      </c>
      <c r="G15" s="1">
        <v>1027.794951183</v>
      </c>
      <c r="H15" s="1">
        <v>1058.6954777968799</v>
      </c>
      <c r="I15" s="1">
        <f>36086*(42*0.453592/1000)</f>
        <v>687.46947830400006</v>
      </c>
      <c r="J15" s="97">
        <v>1244</v>
      </c>
      <c r="K15" s="97">
        <v>1601</v>
      </c>
      <c r="L15" s="1">
        <v>1448</v>
      </c>
      <c r="M15" s="1">
        <v>2211</v>
      </c>
      <c r="N15" s="1">
        <v>2592</v>
      </c>
      <c r="O15" s="41">
        <v>1429</v>
      </c>
      <c r="P15" s="41">
        <v>1410</v>
      </c>
      <c r="Q15" s="41">
        <v>2249</v>
      </c>
      <c r="R15" s="41">
        <v>1525</v>
      </c>
      <c r="S15" s="41">
        <v>3487</v>
      </c>
      <c r="T15" s="41">
        <v>3296.7332123411979</v>
      </c>
      <c r="U15" s="41">
        <v>3296.7332123411979</v>
      </c>
      <c r="V15" s="41">
        <v>3677.8584392014518</v>
      </c>
      <c r="W15" s="1">
        <v>5678.7658802177857</v>
      </c>
      <c r="X15" s="17">
        <v>4230.4900181488201</v>
      </c>
      <c r="Z15">
        <v>688</v>
      </c>
      <c r="AD15">
        <v>55572</v>
      </c>
      <c r="AE15">
        <v>36086</v>
      </c>
    </row>
    <row r="16" spans="1:31">
      <c r="A16" s="10" t="s">
        <v>51</v>
      </c>
      <c r="B16" s="15">
        <f t="shared" si="0"/>
        <v>-0.1060597928184209</v>
      </c>
      <c r="C16" s="135">
        <v>-149.28269207543997</v>
      </c>
      <c r="D16" s="1">
        <v>-37.206367741619943</v>
      </c>
      <c r="E16" s="120">
        <v>634.5847974774</v>
      </c>
      <c r="F16" s="97">
        <v>709.87387341947999</v>
      </c>
      <c r="G16" s="1">
        <v>972.94746898734002</v>
      </c>
      <c r="H16" s="1">
        <v>766.55024005097994</v>
      </c>
      <c r="I16" s="1">
        <f>47075*(42*0.453592/1000)</f>
        <v>896.81942279999998</v>
      </c>
      <c r="J16" s="97">
        <v>955</v>
      </c>
      <c r="K16" s="97">
        <v>1544</v>
      </c>
      <c r="L16" s="1">
        <v>877</v>
      </c>
      <c r="M16" s="1">
        <v>19</v>
      </c>
      <c r="N16" s="1">
        <v>0</v>
      </c>
      <c r="O16" s="41">
        <v>19</v>
      </c>
      <c r="P16" s="41">
        <v>0</v>
      </c>
      <c r="Q16" s="41">
        <v>57</v>
      </c>
      <c r="R16" s="41">
        <v>419</v>
      </c>
      <c r="S16" s="41">
        <v>1581.6696914700544</v>
      </c>
      <c r="T16" s="41">
        <v>2096.1887477313976</v>
      </c>
      <c r="U16" s="41">
        <v>5888.384754990926</v>
      </c>
      <c r="V16" s="41">
        <v>3372.9582577132487</v>
      </c>
      <c r="W16" s="1">
        <v>381.12522686025409</v>
      </c>
      <c r="X16" s="17">
        <v>171.50635208711435</v>
      </c>
      <c r="Z16">
        <v>897</v>
      </c>
      <c r="AD16">
        <v>40237</v>
      </c>
      <c r="AE16">
        <v>47075</v>
      </c>
    </row>
    <row r="17" spans="1:31">
      <c r="A17" s="10" t="s">
        <v>52</v>
      </c>
      <c r="B17" s="15" t="str">
        <f t="shared" si="0"/>
        <v/>
      </c>
      <c r="C17" s="135">
        <v>0</v>
      </c>
      <c r="D17" s="1">
        <v>0</v>
      </c>
      <c r="E17" s="120"/>
      <c r="F17" s="97"/>
      <c r="G17" s="1"/>
      <c r="H17" s="1">
        <f>0*(42*0.453592/1000)</f>
        <v>0</v>
      </c>
      <c r="I17" s="1">
        <f>0*(42*0.453592/1000)</f>
        <v>0</v>
      </c>
      <c r="J17" s="97"/>
      <c r="K17" s="97"/>
      <c r="L17" s="1">
        <v>0</v>
      </c>
      <c r="M17" s="1">
        <v>0</v>
      </c>
      <c r="N17" s="1">
        <v>19</v>
      </c>
      <c r="O17" s="41">
        <v>19</v>
      </c>
      <c r="P17" s="41">
        <v>0</v>
      </c>
      <c r="Q17" s="41">
        <v>1048</v>
      </c>
      <c r="R17" s="41">
        <v>19</v>
      </c>
      <c r="S17" s="41">
        <v>57.168784029038115</v>
      </c>
      <c r="T17" s="41">
        <v>0</v>
      </c>
      <c r="U17" s="41">
        <v>438.29401088929222</v>
      </c>
      <c r="V17" s="41">
        <v>19.056261343012704</v>
      </c>
      <c r="W17" s="1">
        <v>95.281306715063522</v>
      </c>
      <c r="X17" s="17">
        <v>114.33756805807623</v>
      </c>
    </row>
    <row r="18" spans="1:31">
      <c r="A18" s="9" t="s">
        <v>59</v>
      </c>
      <c r="B18" s="15">
        <f t="shared" si="0"/>
        <v>-7.6311986591240097E-2</v>
      </c>
      <c r="C18" s="135">
        <v>-3524.0507481887471</v>
      </c>
      <c r="D18" s="1">
        <v>49458.0836281917</v>
      </c>
      <c r="E18" s="120">
        <v>182826.96639572442</v>
      </c>
      <c r="F18" s="97">
        <v>197931.51339165203</v>
      </c>
      <c r="G18" s="1">
        <v>152497.48989605592</v>
      </c>
      <c r="H18" s="1">
        <v>113217.83398497726</v>
      </c>
      <c r="I18" s="1">
        <f>7442068*(42*0.453592/1000)</f>
        <v>141777.82534675201</v>
      </c>
      <c r="J18" s="97">
        <v>113099</v>
      </c>
      <c r="K18" s="97">
        <v>107477</v>
      </c>
      <c r="L18" s="1">
        <v>101322</v>
      </c>
      <c r="M18" s="1">
        <v>94405</v>
      </c>
      <c r="N18" s="1">
        <v>104181</v>
      </c>
      <c r="O18" s="1">
        <v>92366</v>
      </c>
      <c r="P18" s="1">
        <v>72852</v>
      </c>
      <c r="Q18" s="1">
        <v>60084</v>
      </c>
      <c r="R18" s="1">
        <v>62619</v>
      </c>
      <c r="S18" s="1">
        <v>50270.417422867511</v>
      </c>
      <c r="T18" s="1">
        <v>54462.794918330306</v>
      </c>
      <c r="U18" s="1">
        <v>59836.66061705989</v>
      </c>
      <c r="V18" s="1">
        <v>48593.466424682396</v>
      </c>
      <c r="W18" s="1">
        <v>45372.958257713246</v>
      </c>
      <c r="X18" s="17">
        <v>34568.058076225047</v>
      </c>
      <c r="Z18">
        <v>141818</v>
      </c>
      <c r="AD18">
        <v>5942919</v>
      </c>
      <c r="AE18">
        <v>7442068</v>
      </c>
    </row>
    <row r="19" spans="1:31">
      <c r="A19" s="10" t="s">
        <v>18</v>
      </c>
      <c r="B19" s="15">
        <f t="shared" si="0"/>
        <v>-0.21906049938693498</v>
      </c>
      <c r="C19" s="135">
        <v>-38977.089842224377</v>
      </c>
      <c r="D19" s="1">
        <v>-6149.9858822232345</v>
      </c>
      <c r="E19" s="120">
        <v>281637.00120219047</v>
      </c>
      <c r="F19" s="97">
        <v>360638.69349814614</v>
      </c>
      <c r="G19" s="1">
        <v>384429.46996945719</v>
      </c>
      <c r="H19" s="1">
        <v>265867.14034008741</v>
      </c>
      <c r="I19" s="1">
        <f>17018252*(42*0.453592/1000)</f>
        <v>324212.404369728</v>
      </c>
      <c r="J19" s="97">
        <v>369791</v>
      </c>
      <c r="K19" s="97">
        <v>481018</v>
      </c>
      <c r="L19" s="1">
        <v>499045</v>
      </c>
      <c r="M19" s="1">
        <v>602197</v>
      </c>
      <c r="N19" s="1">
        <v>676116</v>
      </c>
      <c r="O19" s="41">
        <v>538168</v>
      </c>
      <c r="P19" s="41">
        <v>804308</v>
      </c>
      <c r="Q19" s="41">
        <v>608009</v>
      </c>
      <c r="R19" s="41">
        <v>650828</v>
      </c>
      <c r="S19" s="41">
        <v>599815</v>
      </c>
      <c r="T19" s="41">
        <v>547219.60072595277</v>
      </c>
      <c r="U19" s="41">
        <v>627103.44827586203</v>
      </c>
      <c r="V19" s="41">
        <v>618871.14337568055</v>
      </c>
      <c r="W19" s="1">
        <v>555375.68058076221</v>
      </c>
      <c r="X19" s="17">
        <v>617594.3738656987</v>
      </c>
      <c r="Z19">
        <v>324304</v>
      </c>
      <c r="AD19">
        <v>13955636</v>
      </c>
      <c r="AE19">
        <v>17018252</v>
      </c>
    </row>
    <row r="20" spans="1:31">
      <c r="A20" s="10" t="s">
        <v>53</v>
      </c>
      <c r="B20" s="15">
        <f t="shared" si="0"/>
        <v>-0.61697908869387952</v>
      </c>
      <c r="C20" s="135">
        <v>104.72268483137998</v>
      </c>
      <c r="D20" s="1">
        <v>-889.6189218793802</v>
      </c>
      <c r="E20" s="120">
        <v>916.32825499445994</v>
      </c>
      <c r="F20" s="97">
        <v>2392.3713508741198</v>
      </c>
      <c r="G20" s="1">
        <v>3770.0738065682999</v>
      </c>
      <c r="H20" s="1">
        <v>3573.8497473062998</v>
      </c>
      <c r="I20" s="1">
        <f>168623*(42*0.453592/1000)</f>
        <v>3212.413840272</v>
      </c>
      <c r="J20" s="97">
        <v>3480</v>
      </c>
      <c r="K20" s="97">
        <v>7546</v>
      </c>
      <c r="L20" s="1">
        <v>4955</v>
      </c>
      <c r="M20" s="1">
        <v>8061</v>
      </c>
      <c r="N20" s="1">
        <v>9642</v>
      </c>
      <c r="O20" s="41">
        <v>6479</v>
      </c>
      <c r="P20" s="41">
        <v>8175</v>
      </c>
      <c r="Q20" s="41">
        <v>7184</v>
      </c>
      <c r="R20" s="41">
        <v>4116</v>
      </c>
      <c r="S20" s="41">
        <v>8251.3611615245009</v>
      </c>
      <c r="T20" s="41">
        <v>6212.3411978221411</v>
      </c>
      <c r="U20" s="41">
        <v>8689.6551724137935</v>
      </c>
      <c r="V20" s="41">
        <v>9108.8929219600723</v>
      </c>
      <c r="W20" s="1">
        <v>10423.774954627948</v>
      </c>
      <c r="X20" s="17">
        <v>12539.01996370236</v>
      </c>
      <c r="Z20">
        <v>3213</v>
      </c>
      <c r="AD20">
        <v>187595</v>
      </c>
      <c r="AE20">
        <v>168623</v>
      </c>
    </row>
    <row r="21" spans="1:31">
      <c r="A21" s="10" t="s">
        <v>54</v>
      </c>
      <c r="B21" s="15">
        <f t="shared" si="0"/>
        <v>0.48361204013377929</v>
      </c>
      <c r="C21" s="135">
        <v>-188.22268985520003</v>
      </c>
      <c r="D21" s="1">
        <v>-33.643853267639997</v>
      </c>
      <c r="E21" s="120">
        <v>380.29365737747997</v>
      </c>
      <c r="F21" s="97">
        <v>256.32958421069998</v>
      </c>
      <c r="G21" s="1">
        <v>709.70241550361993</v>
      </c>
      <c r="H21" s="1">
        <v>645.84386728554</v>
      </c>
      <c r="I21" s="1">
        <f>13833*(42*0.453592/1000)</f>
        <v>263.53060171200002</v>
      </c>
      <c r="J21" s="97">
        <v>715</v>
      </c>
      <c r="K21" s="97">
        <v>705</v>
      </c>
      <c r="L21" s="1">
        <v>991</v>
      </c>
      <c r="M21" s="1">
        <v>2096</v>
      </c>
      <c r="N21" s="1">
        <v>3544</v>
      </c>
      <c r="O21" s="41">
        <v>5240</v>
      </c>
      <c r="P21" s="41">
        <v>4021</v>
      </c>
      <c r="Q21" s="41">
        <v>8518</v>
      </c>
      <c r="R21" s="41">
        <v>1734</v>
      </c>
      <c r="S21" s="41">
        <v>6384</v>
      </c>
      <c r="T21" s="41">
        <v>7736.8421052631575</v>
      </c>
      <c r="U21" s="41">
        <v>9661.5245009074406</v>
      </c>
      <c r="V21" s="41">
        <v>11891.107078039928</v>
      </c>
      <c r="W21" s="1">
        <v>8308.5299455535387</v>
      </c>
      <c r="X21" s="17">
        <v>15416.515426497277</v>
      </c>
      <c r="Z21">
        <v>264</v>
      </c>
      <c r="AD21">
        <v>33901</v>
      </c>
      <c r="AE21">
        <v>13833</v>
      </c>
    </row>
    <row r="22" spans="1:31">
      <c r="A22" s="10" t="s">
        <v>33</v>
      </c>
      <c r="B22" s="15">
        <f t="shared" si="0"/>
        <v>-0.26069408250174791</v>
      </c>
      <c r="C22" s="135">
        <v>-428.24472117965979</v>
      </c>
      <c r="D22" s="1">
        <v>-179.76409933943978</v>
      </c>
      <c r="E22" s="120">
        <v>2215.9030536951</v>
      </c>
      <c r="F22" s="97">
        <v>2997.2748780282</v>
      </c>
      <c r="G22" s="1">
        <v>2427.8440885775999</v>
      </c>
      <c r="H22" s="1">
        <v>2749.9182580808397</v>
      </c>
      <c r="I22" s="1">
        <f>145292*(42*0.453592/1000)</f>
        <v>2767.9381322879999</v>
      </c>
      <c r="J22" s="97">
        <v>2182</v>
      </c>
      <c r="K22" s="97">
        <v>2001</v>
      </c>
      <c r="L22" s="1">
        <v>2744</v>
      </c>
      <c r="M22" s="1">
        <v>3144</v>
      </c>
      <c r="N22" s="1">
        <v>1772</v>
      </c>
      <c r="O22" s="41">
        <v>1868</v>
      </c>
      <c r="P22" s="41">
        <v>2858</v>
      </c>
      <c r="Q22" s="41">
        <v>2191</v>
      </c>
      <c r="R22" s="41">
        <v>1334</v>
      </c>
      <c r="S22" s="41">
        <v>2972.7767695099819</v>
      </c>
      <c r="T22" s="41">
        <v>2191.4700544464608</v>
      </c>
      <c r="U22" s="41">
        <v>3735.0272232304901</v>
      </c>
      <c r="V22" s="41">
        <v>2343.9201451905628</v>
      </c>
      <c r="W22" s="1">
        <v>3849.3647912885663</v>
      </c>
      <c r="X22" s="17">
        <v>4611.615245009074</v>
      </c>
      <c r="Z22">
        <v>2769</v>
      </c>
      <c r="AD22">
        <v>144346</v>
      </c>
      <c r="AE22">
        <v>145292</v>
      </c>
    </row>
    <row r="23" spans="1:31">
      <c r="A23" s="10" t="s">
        <v>19</v>
      </c>
      <c r="B23" s="15">
        <f t="shared" si="0"/>
        <v>-0.65766803566062315</v>
      </c>
      <c r="C23" s="135">
        <v>-65.439771219900024</v>
      </c>
      <c r="D23" s="1">
        <v>353.03184875573999</v>
      </c>
      <c r="E23" s="120">
        <v>260.42552331179996</v>
      </c>
      <c r="F23" s="97">
        <v>760.73972179127998</v>
      </c>
      <c r="G23" s="1">
        <v>254.50069977485998</v>
      </c>
      <c r="H23" s="1">
        <v>315.67307397780002</v>
      </c>
      <c r="I23" s="1">
        <f>15393*(42*0.453592/1000)</f>
        <v>293.24994955200003</v>
      </c>
      <c r="J23" s="97">
        <v>302</v>
      </c>
      <c r="K23" s="97">
        <v>572</v>
      </c>
      <c r="L23" s="1">
        <v>610</v>
      </c>
      <c r="M23" s="1">
        <v>896</v>
      </c>
      <c r="N23" s="1">
        <v>553</v>
      </c>
      <c r="O23" s="41">
        <v>2020</v>
      </c>
      <c r="P23" s="41">
        <v>915</v>
      </c>
      <c r="Q23" s="41">
        <v>800</v>
      </c>
      <c r="R23" s="41">
        <v>629</v>
      </c>
      <c r="S23" s="41">
        <v>1029.0381125226861</v>
      </c>
      <c r="T23" s="41">
        <v>1200.5444646098003</v>
      </c>
      <c r="U23" s="41">
        <v>1638.8384754990925</v>
      </c>
      <c r="V23" s="41">
        <v>1848.4573502722324</v>
      </c>
      <c r="W23" s="1">
        <v>1696.0072595281306</v>
      </c>
      <c r="X23" s="17">
        <v>2362.9764065335753</v>
      </c>
      <c r="Z23">
        <v>293</v>
      </c>
      <c r="AD23">
        <v>16570</v>
      </c>
      <c r="AE23">
        <v>15393</v>
      </c>
    </row>
    <row r="24" spans="1:31">
      <c r="A24" s="10" t="s">
        <v>55</v>
      </c>
      <c r="B24" s="15" t="str">
        <f t="shared" si="0"/>
        <v/>
      </c>
      <c r="C24" s="135">
        <v>0</v>
      </c>
      <c r="D24" s="1">
        <v>0</v>
      </c>
      <c r="E24" s="120"/>
      <c r="F24" s="97"/>
      <c r="G24" s="1"/>
      <c r="H24" s="1">
        <f>0*(42*0.453592/1000)</f>
        <v>0</v>
      </c>
      <c r="I24" s="1">
        <f>0*(42*0.453592/1000)</f>
        <v>0</v>
      </c>
      <c r="J24" s="97"/>
      <c r="K24" s="97"/>
      <c r="L24" s="1">
        <v>0</v>
      </c>
      <c r="M24" s="1">
        <v>0</v>
      </c>
      <c r="N24" s="1">
        <v>0</v>
      </c>
      <c r="O24" s="41">
        <v>0</v>
      </c>
      <c r="P24" s="41">
        <v>0</v>
      </c>
      <c r="Q24" s="41">
        <v>267</v>
      </c>
      <c r="R24" s="41">
        <v>0</v>
      </c>
      <c r="S24" s="41">
        <v>152.45009074410163</v>
      </c>
      <c r="T24" s="41">
        <v>95.281306715063522</v>
      </c>
      <c r="U24" s="41">
        <v>133.39382940108894</v>
      </c>
      <c r="V24" s="41">
        <v>343.0127041742287</v>
      </c>
      <c r="W24" s="1">
        <v>190.56261343012704</v>
      </c>
      <c r="X24" s="17">
        <v>705.0816696914701</v>
      </c>
    </row>
    <row r="25" spans="1:31">
      <c r="A25" s="10" t="s">
        <v>56</v>
      </c>
      <c r="B25" s="15">
        <f t="shared" si="0"/>
        <v>-0.1024961467613999</v>
      </c>
      <c r="C25" s="135">
        <v>-212.98883325719987</v>
      </c>
      <c r="D25" s="1">
        <v>-53.761582061880063</v>
      </c>
      <c r="E25" s="120">
        <v>909.66044715546002</v>
      </c>
      <c r="F25" s="97">
        <v>1013.54489328708</v>
      </c>
      <c r="G25" s="1">
        <v>1047.0553903979401</v>
      </c>
      <c r="H25" s="1">
        <v>824.94118584107991</v>
      </c>
      <c r="I25" s="1">
        <f>48987*(42*0.453592/1000)</f>
        <v>933.24467476799998</v>
      </c>
      <c r="J25" s="97">
        <v>934</v>
      </c>
      <c r="K25" s="97">
        <v>877</v>
      </c>
      <c r="L25" s="1">
        <v>953</v>
      </c>
      <c r="M25" s="1">
        <v>38</v>
      </c>
      <c r="N25" s="1">
        <v>229</v>
      </c>
      <c r="O25" s="41">
        <v>248</v>
      </c>
      <c r="P25" s="41">
        <v>248</v>
      </c>
      <c r="Q25" s="41">
        <v>305</v>
      </c>
      <c r="R25" s="41">
        <v>19</v>
      </c>
      <c r="S25" s="41">
        <v>3220.5081669691472</v>
      </c>
      <c r="T25" s="41">
        <v>990.92558983666061</v>
      </c>
      <c r="U25" s="41">
        <v>819.41923774954626</v>
      </c>
      <c r="V25" s="41">
        <v>666.9691470054446</v>
      </c>
      <c r="W25" s="1">
        <v>1162.431941923775</v>
      </c>
      <c r="X25" s="17">
        <v>609.80036297640652</v>
      </c>
      <c r="Z25">
        <v>934</v>
      </c>
      <c r="AD25">
        <v>43302</v>
      </c>
      <c r="AE25">
        <v>48987</v>
      </c>
    </row>
    <row r="26" spans="1:31" ht="13.8" thickBot="1">
      <c r="A26" s="10" t="s">
        <v>57</v>
      </c>
      <c r="B26" s="15">
        <f t="shared" si="0"/>
        <v>-1.2750100296653605E-3</v>
      </c>
      <c r="C26" s="135">
        <v>-4795.430245170166</v>
      </c>
      <c r="D26" s="1">
        <v>-21701.695122713747</v>
      </c>
      <c r="E26" s="120">
        <v>260699.53211222382</v>
      </c>
      <c r="F26" s="97">
        <v>261032.35097778763</v>
      </c>
      <c r="G26" s="1">
        <v>257735.31051019751</v>
      </c>
      <c r="H26" s="1">
        <v>202184.24123136624</v>
      </c>
      <c r="I26" s="1">
        <f>(7802954+1464908)*(42*0.453592/1000)</f>
        <v>176560.77853276802</v>
      </c>
      <c r="J26" s="97">
        <f>134494+25468+3</f>
        <v>159965</v>
      </c>
      <c r="K26" s="97">
        <f>22391+141874</f>
        <v>164265</v>
      </c>
      <c r="L26" s="1"/>
      <c r="M26" s="1">
        <v>133889</v>
      </c>
      <c r="N26" s="1">
        <v>205026</v>
      </c>
      <c r="O26" s="41">
        <v>164379</v>
      </c>
      <c r="P26" s="41">
        <v>159139</v>
      </c>
      <c r="Q26" s="41">
        <v>113728</v>
      </c>
      <c r="R26" s="41">
        <v>66544</v>
      </c>
      <c r="S26" s="41">
        <v>67687.840290381122</v>
      </c>
      <c r="T26" s="41">
        <v>53052.631578947367</v>
      </c>
      <c r="U26" s="41">
        <v>64467.332123411979</v>
      </c>
      <c r="V26" s="41">
        <v>64410.16333938294</v>
      </c>
      <c r="W26" s="1">
        <v>49832.123411978224</v>
      </c>
      <c r="X26" s="17">
        <v>42476.406533575318</v>
      </c>
      <c r="Z26">
        <v>176612</v>
      </c>
      <c r="AD26">
        <v>10612856</v>
      </c>
      <c r="AE26">
        <v>9267862</v>
      </c>
    </row>
    <row r="27" spans="1:31" ht="13.8" thickBot="1">
      <c r="A27" s="11" t="s">
        <v>21</v>
      </c>
      <c r="B27" s="94">
        <f t="shared" si="0"/>
        <v>-5.3386295798994822E-2</v>
      </c>
      <c r="C27" s="136">
        <v>-239272.05534960888</v>
      </c>
      <c r="D27" s="89">
        <v>-170274.64668089058</v>
      </c>
      <c r="E27" s="137">
        <f>SUM(E2:E26)</f>
        <v>2190399.2030846723</v>
      </c>
      <c r="F27" s="99">
        <f t="shared" ref="F27:L27" si="1">SUM(F2:F26)</f>
        <v>2313931.4309140407</v>
      </c>
      <c r="G27" s="99">
        <f t="shared" si="1"/>
        <v>2370263.8529663254</v>
      </c>
      <c r="H27" s="99">
        <f t="shared" si="1"/>
        <v>1774854.0458678105</v>
      </c>
      <c r="I27" s="99">
        <f t="shared" si="1"/>
        <v>1908504.334561104</v>
      </c>
      <c r="J27" s="99">
        <f t="shared" si="1"/>
        <v>1959508</v>
      </c>
      <c r="K27" s="99">
        <f t="shared" si="1"/>
        <v>2255462</v>
      </c>
      <c r="L27" s="89">
        <f t="shared" si="1"/>
        <v>1842474</v>
      </c>
      <c r="M27" s="89">
        <v>2342435</v>
      </c>
      <c r="N27" s="89">
        <f t="shared" ref="N27:X27" si="2">SUM(N2:N26)</f>
        <v>2291572</v>
      </c>
      <c r="O27" s="89">
        <f t="shared" si="2"/>
        <v>2024576</v>
      </c>
      <c r="P27" s="89">
        <f t="shared" si="2"/>
        <v>2474684</v>
      </c>
      <c r="Q27" s="89">
        <f t="shared" si="2"/>
        <v>2007519</v>
      </c>
      <c r="R27" s="89">
        <f t="shared" si="2"/>
        <v>1951168</v>
      </c>
      <c r="S27" s="89">
        <f t="shared" si="2"/>
        <v>1792469.4845735026</v>
      </c>
      <c r="T27" s="89">
        <f t="shared" si="2"/>
        <v>1733986.3883847552</v>
      </c>
      <c r="U27" s="89">
        <f t="shared" si="2"/>
        <v>1813012.7041742287</v>
      </c>
      <c r="V27" s="89">
        <f t="shared" si="2"/>
        <v>1978859.3466424681</v>
      </c>
      <c r="W27" s="89">
        <f t="shared" si="2"/>
        <v>1645584.3920145188</v>
      </c>
      <c r="X27" s="87">
        <f t="shared" si="2"/>
        <v>1664754.9909255898</v>
      </c>
    </row>
    <row r="28" spans="1:31" s="1" customFormat="1">
      <c r="A28"/>
      <c r="B28" s="22"/>
      <c r="C28" s="22"/>
      <c r="D28" s="22"/>
      <c r="E28" s="22"/>
      <c r="G28" s="117"/>
      <c r="H28" s="117"/>
      <c r="I28" s="118"/>
    </row>
    <row r="29" spans="1:31" ht="13.8" thickBot="1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31" ht="13.8" thickBot="1">
      <c r="A30" s="11" t="s">
        <v>23</v>
      </c>
      <c r="B30" s="12" t="s">
        <v>169</v>
      </c>
      <c r="C30" s="132" t="s">
        <v>170</v>
      </c>
      <c r="D30" s="133" t="s">
        <v>168</v>
      </c>
      <c r="E30" s="134">
        <v>45992</v>
      </c>
      <c r="F30" s="13">
        <v>45627</v>
      </c>
      <c r="G30" s="13">
        <v>45261</v>
      </c>
      <c r="H30" s="13">
        <v>44896</v>
      </c>
      <c r="I30" s="13">
        <v>44531</v>
      </c>
      <c r="J30" s="13">
        <v>44166</v>
      </c>
      <c r="K30" s="13">
        <v>43800</v>
      </c>
      <c r="L30" s="13">
        <v>43435</v>
      </c>
      <c r="M30" s="13">
        <v>43070</v>
      </c>
      <c r="N30" s="13">
        <v>42705</v>
      </c>
      <c r="O30" s="13">
        <f>O1</f>
        <v>42339</v>
      </c>
      <c r="P30" s="13">
        <f>P1</f>
        <v>41974</v>
      </c>
      <c r="Q30" s="13">
        <v>41609</v>
      </c>
      <c r="R30" s="13">
        <v>41244</v>
      </c>
      <c r="S30" s="13">
        <v>40878</v>
      </c>
      <c r="T30" s="13">
        <v>40513</v>
      </c>
      <c r="U30" s="13">
        <v>40148</v>
      </c>
      <c r="V30" s="13">
        <v>39783</v>
      </c>
      <c r="W30" s="13">
        <v>39417</v>
      </c>
      <c r="X30" s="14">
        <v>39052</v>
      </c>
    </row>
    <row r="31" spans="1:31">
      <c r="A31" s="9" t="s">
        <v>39</v>
      </c>
      <c r="B31" s="15">
        <f t="shared" ref="B31:B41" si="3">IFERROR(((E31-F31)/F31),"")</f>
        <v>0.76940699375018495</v>
      </c>
      <c r="C31" s="135">
        <v>-16645.180000000022</v>
      </c>
      <c r="D31" s="1">
        <v>-11617.01999999999</v>
      </c>
      <c r="E31" s="120">
        <v>145712.85999999999</v>
      </c>
      <c r="F31" s="1">
        <v>82351.240000000005</v>
      </c>
      <c r="G31" s="1">
        <v>100951.94</v>
      </c>
      <c r="H31" s="1">
        <v>115043</v>
      </c>
      <c r="I31" s="1">
        <v>126183.8</v>
      </c>
      <c r="J31" s="1">
        <v>112211.14</v>
      </c>
      <c r="K31" s="88">
        <v>134151</v>
      </c>
      <c r="L31" s="1">
        <v>143174</v>
      </c>
      <c r="M31" s="1">
        <v>125301</v>
      </c>
      <c r="N31" s="1">
        <v>113405</v>
      </c>
      <c r="O31" s="1">
        <v>127966.28</v>
      </c>
      <c r="P31" s="1">
        <v>155205.57999999999</v>
      </c>
      <c r="Q31" s="1">
        <v>164909.42000000001</v>
      </c>
      <c r="R31" s="1">
        <v>138255.70000000001</v>
      </c>
      <c r="S31" s="1">
        <v>160197.56</v>
      </c>
      <c r="T31" s="1">
        <v>150776.32000000001</v>
      </c>
      <c r="U31" s="1">
        <v>168584.68</v>
      </c>
      <c r="V31" s="1">
        <v>131508.94</v>
      </c>
      <c r="W31" s="1">
        <v>148064.32000000001</v>
      </c>
      <c r="X31" s="17">
        <v>116103.2</v>
      </c>
      <c r="AB31" s="1"/>
    </row>
    <row r="32" spans="1:31">
      <c r="A32" s="9" t="s">
        <v>40</v>
      </c>
      <c r="B32" s="15">
        <f t="shared" si="3"/>
        <v>3.5802859762982302</v>
      </c>
      <c r="C32" s="135">
        <v>-5230.5599999999977</v>
      </c>
      <c r="D32" s="1">
        <v>-2993.1399999999994</v>
      </c>
      <c r="E32" s="120">
        <v>49246.96</v>
      </c>
      <c r="F32" s="1">
        <v>10751.94</v>
      </c>
      <c r="G32" s="1">
        <v>34627.4</v>
      </c>
      <c r="H32" s="1">
        <v>21947.919999999998</v>
      </c>
      <c r="I32" s="1">
        <v>32337.54</v>
      </c>
      <c r="J32" s="1">
        <v>30364.66</v>
      </c>
      <c r="K32" s="88">
        <v>27391</v>
      </c>
      <c r="L32" s="1">
        <v>47750</v>
      </c>
      <c r="M32" s="1">
        <v>29987</v>
      </c>
      <c r="N32" s="1">
        <v>43107</v>
      </c>
      <c r="O32" s="1">
        <v>41503.18</v>
      </c>
      <c r="P32" s="1">
        <v>37068.519999999997</v>
      </c>
      <c r="Q32" s="1">
        <v>48468</v>
      </c>
      <c r="R32" s="1">
        <v>33828.58</v>
      </c>
      <c r="S32" s="1">
        <v>52034.48</v>
      </c>
      <c r="T32" s="1">
        <v>32013.16</v>
      </c>
      <c r="U32" s="1">
        <v>42454.720000000001</v>
      </c>
      <c r="V32" s="1">
        <v>45001.4</v>
      </c>
      <c r="W32" s="1">
        <v>32008.959999999999</v>
      </c>
      <c r="X32" s="17">
        <v>44668.4</v>
      </c>
      <c r="AB32" s="1"/>
    </row>
    <row r="33" spans="1:31">
      <c r="A33" s="9" t="s">
        <v>41</v>
      </c>
      <c r="B33" s="15">
        <f t="shared" si="3"/>
        <v>0.29321414800738121</v>
      </c>
      <c r="C33" s="135">
        <v>-1198.4399999999987</v>
      </c>
      <c r="D33" s="1">
        <v>-1837.380000000001</v>
      </c>
      <c r="E33" s="120">
        <v>15025.7</v>
      </c>
      <c r="F33" s="1">
        <v>11618.88</v>
      </c>
      <c r="G33" s="1">
        <v>10870.78</v>
      </c>
      <c r="H33" s="1">
        <v>12193.28</v>
      </c>
      <c r="I33" s="1">
        <v>14870.16</v>
      </c>
      <c r="J33" s="1">
        <v>12033.64</v>
      </c>
      <c r="K33" s="88">
        <v>16785</v>
      </c>
      <c r="L33" s="1">
        <v>15175</v>
      </c>
      <c r="M33" s="1">
        <v>14231</v>
      </c>
      <c r="N33" s="1">
        <v>13942</v>
      </c>
      <c r="O33" s="1">
        <v>11821.1</v>
      </c>
      <c r="P33" s="1">
        <v>16305.92</v>
      </c>
      <c r="Q33" s="1">
        <v>15209.74</v>
      </c>
      <c r="R33" s="1">
        <v>14202.84</v>
      </c>
      <c r="S33" s="1">
        <v>13572.54</v>
      </c>
      <c r="T33" s="1">
        <v>13855.82</v>
      </c>
      <c r="U33" s="1">
        <v>15108.4</v>
      </c>
      <c r="V33" s="1">
        <v>13169.38</v>
      </c>
      <c r="W33" s="1">
        <v>14292.4</v>
      </c>
      <c r="X33" s="17">
        <v>11508.74</v>
      </c>
      <c r="AA33" s="1"/>
      <c r="AB33" s="1"/>
      <c r="AC33" s="1"/>
      <c r="AD33" s="1"/>
      <c r="AE33" s="1"/>
    </row>
    <row r="34" spans="1:31">
      <c r="A34" s="9" t="s">
        <v>42</v>
      </c>
      <c r="B34" s="15">
        <f t="shared" si="3"/>
        <v>1.3286713286713288</v>
      </c>
      <c r="C34" s="135">
        <v>-615.55999999999995</v>
      </c>
      <c r="D34" s="1">
        <v>-474.08000000000004</v>
      </c>
      <c r="E34" s="120">
        <v>1751.58</v>
      </c>
      <c r="F34" s="1">
        <v>752.18</v>
      </c>
      <c r="G34" s="1">
        <v>1141.9000000000001</v>
      </c>
      <c r="H34" s="1">
        <v>482.04</v>
      </c>
      <c r="I34" s="1">
        <v>593.86</v>
      </c>
      <c r="J34" s="1">
        <v>706.74</v>
      </c>
      <c r="K34" s="88">
        <v>1675</v>
      </c>
      <c r="L34" s="1">
        <v>2229</v>
      </c>
      <c r="M34" s="1">
        <v>1529</v>
      </c>
      <c r="N34" s="1">
        <v>2399</v>
      </c>
      <c r="O34" s="1">
        <v>1336.08</v>
      </c>
      <c r="P34" s="1">
        <v>2022.64</v>
      </c>
      <c r="Q34" s="1">
        <v>3207.88</v>
      </c>
      <c r="R34" s="1">
        <v>1826.48</v>
      </c>
      <c r="S34" s="1">
        <v>3030.02</v>
      </c>
      <c r="T34" s="1">
        <v>2188.7600000000002</v>
      </c>
      <c r="U34" s="1">
        <v>3228.52</v>
      </c>
      <c r="V34" s="1">
        <v>3194.42</v>
      </c>
      <c r="W34" s="1">
        <v>2467.6999999999998</v>
      </c>
      <c r="X34" s="17">
        <v>2567.6</v>
      </c>
      <c r="AA34" s="1"/>
      <c r="AB34" s="1"/>
      <c r="AC34" s="1"/>
      <c r="AD34" s="1"/>
      <c r="AE34" s="1"/>
    </row>
    <row r="35" spans="1:31">
      <c r="A35" s="9" t="s">
        <v>149</v>
      </c>
      <c r="B35" s="15">
        <f t="shared" si="3"/>
        <v>5.458451704545455</v>
      </c>
      <c r="C35" s="135">
        <v>-100.07999999999998</v>
      </c>
      <c r="D35" s="1">
        <v>-168.26000000000002</v>
      </c>
      <c r="E35" s="120">
        <v>363.74</v>
      </c>
      <c r="F35" s="1">
        <v>56.32</v>
      </c>
      <c r="G35" s="1">
        <v>42.14</v>
      </c>
      <c r="H35" s="1">
        <v>228.52</v>
      </c>
      <c r="I35" s="1">
        <v>196.18</v>
      </c>
      <c r="J35" s="1">
        <v>130.9</v>
      </c>
      <c r="K35" s="88">
        <v>170</v>
      </c>
      <c r="L35" s="1">
        <v>480</v>
      </c>
      <c r="M35" s="1">
        <v>321</v>
      </c>
      <c r="N35" s="1">
        <v>136</v>
      </c>
      <c r="O35" s="1">
        <v>157.4</v>
      </c>
      <c r="P35" s="1">
        <v>303.92</v>
      </c>
      <c r="Q35" s="1">
        <v>429.74</v>
      </c>
      <c r="R35" s="1">
        <v>319.02</v>
      </c>
      <c r="S35" s="1">
        <v>1293.18</v>
      </c>
      <c r="T35" s="1">
        <v>740.96</v>
      </c>
      <c r="U35" s="1"/>
      <c r="V35" s="1"/>
      <c r="W35" s="1"/>
      <c r="X35" s="17"/>
      <c r="AA35" s="1"/>
      <c r="AB35" s="1"/>
      <c r="AC35" s="1"/>
      <c r="AD35" s="1"/>
      <c r="AE35" s="1"/>
    </row>
    <row r="36" spans="1:31">
      <c r="A36" s="9" t="s">
        <v>43</v>
      </c>
      <c r="B36" s="15">
        <f t="shared" si="3"/>
        <v>1.1767366720516963</v>
      </c>
      <c r="C36" s="135">
        <v>-120.72</v>
      </c>
      <c r="D36" s="1">
        <v>-53.220000000000006</v>
      </c>
      <c r="E36" s="120">
        <v>134.74</v>
      </c>
      <c r="F36" s="1">
        <v>61.9</v>
      </c>
      <c r="G36" s="1">
        <v>112.26</v>
      </c>
      <c r="H36" s="1">
        <v>55.7</v>
      </c>
      <c r="I36" s="1">
        <v>82</v>
      </c>
      <c r="J36" s="1">
        <v>247.56</v>
      </c>
      <c r="K36" s="1">
        <v>233</v>
      </c>
      <c r="L36" s="1">
        <v>343</v>
      </c>
      <c r="M36" s="1">
        <v>277</v>
      </c>
      <c r="N36" s="1">
        <v>443</v>
      </c>
      <c r="O36" s="1">
        <v>163.38</v>
      </c>
      <c r="P36" s="1">
        <v>239.52</v>
      </c>
      <c r="Q36" s="1">
        <v>507.46</v>
      </c>
      <c r="R36" s="1">
        <v>470.78</v>
      </c>
      <c r="S36" s="1">
        <v>726.22</v>
      </c>
      <c r="T36" s="1">
        <v>361.34</v>
      </c>
      <c r="U36" s="1">
        <v>494.52</v>
      </c>
      <c r="V36" s="1">
        <v>658.92</v>
      </c>
      <c r="W36" s="1">
        <v>406.42</v>
      </c>
      <c r="X36" s="17">
        <v>498.7</v>
      </c>
      <c r="AA36" s="1"/>
      <c r="AB36" s="1"/>
      <c r="AC36" s="1"/>
      <c r="AD36" s="1"/>
      <c r="AE36" s="1"/>
    </row>
    <row r="37" spans="1:31">
      <c r="A37" s="9" t="s">
        <v>172</v>
      </c>
      <c r="B37" s="15">
        <f t="shared" si="3"/>
        <v>-8.060363091163919E-2</v>
      </c>
      <c r="C37" s="135">
        <v>-145.42000000000007</v>
      </c>
      <c r="D37" s="1">
        <v>-128.67999999999995</v>
      </c>
      <c r="E37" s="120">
        <v>564.16</v>
      </c>
      <c r="F37" s="1">
        <v>613.62</v>
      </c>
      <c r="G37" s="1">
        <v>576.94000000000005</v>
      </c>
      <c r="H37" s="1">
        <v>138.74</v>
      </c>
      <c r="I37" s="1">
        <v>450.6</v>
      </c>
      <c r="J37" s="1">
        <v>291.72000000000003</v>
      </c>
      <c r="K37" s="1">
        <v>534</v>
      </c>
      <c r="L37" s="1">
        <v>644</v>
      </c>
      <c r="M37" s="1">
        <v>160</v>
      </c>
      <c r="N37" s="1">
        <v>598</v>
      </c>
      <c r="O37" s="1">
        <v>104.7</v>
      </c>
      <c r="P37" s="1"/>
      <c r="Q37" s="1"/>
      <c r="R37" s="1"/>
      <c r="S37" s="1"/>
      <c r="T37" s="1"/>
      <c r="U37" s="1"/>
      <c r="V37" s="1"/>
      <c r="W37" s="1"/>
      <c r="X37" s="17"/>
      <c r="AA37" s="1"/>
      <c r="AB37" s="1"/>
      <c r="AC37" s="1"/>
      <c r="AD37" s="1"/>
      <c r="AE37" s="1"/>
    </row>
    <row r="38" spans="1:31">
      <c r="A38" s="9" t="s">
        <v>44</v>
      </c>
      <c r="B38" s="138" t="str">
        <f t="shared" si="3"/>
        <v/>
      </c>
      <c r="C38" s="139">
        <v>0</v>
      </c>
      <c r="D38" s="1">
        <v>0</v>
      </c>
      <c r="E38" s="12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>
        <v>82.06</v>
      </c>
      <c r="R38" s="1">
        <v>233.14</v>
      </c>
      <c r="S38" s="1">
        <v>146.52000000000001</v>
      </c>
      <c r="T38" s="1">
        <v>110.26</v>
      </c>
      <c r="U38" s="1">
        <v>237.22</v>
      </c>
      <c r="V38" s="1">
        <v>409.2</v>
      </c>
      <c r="W38" s="1">
        <v>295.72000000000003</v>
      </c>
      <c r="X38" s="17">
        <v>315.38</v>
      </c>
      <c r="AA38" s="1"/>
      <c r="AB38" s="1"/>
      <c r="AC38" s="1"/>
      <c r="AD38" s="1"/>
      <c r="AE38" s="1"/>
    </row>
    <row r="39" spans="1:31">
      <c r="A39" s="9" t="s">
        <v>46</v>
      </c>
      <c r="B39" s="15">
        <f t="shared" si="3"/>
        <v>-0.10307417652482691</v>
      </c>
      <c r="C39" s="135">
        <v>-84.600000000000023</v>
      </c>
      <c r="D39" s="1">
        <v>-187.29999999999995</v>
      </c>
      <c r="E39" s="120">
        <v>914.38</v>
      </c>
      <c r="F39" s="1">
        <v>1019.46</v>
      </c>
      <c r="G39" s="1">
        <v>979.3</v>
      </c>
      <c r="H39" s="1">
        <v>639.52</v>
      </c>
      <c r="I39" s="1">
        <v>33.5</v>
      </c>
      <c r="J39" s="1">
        <v>176.04</v>
      </c>
      <c r="K39" s="1">
        <v>168</v>
      </c>
      <c r="L39" s="1">
        <v>304</v>
      </c>
      <c r="M39" s="1">
        <v>246</v>
      </c>
      <c r="N39" s="1">
        <v>270</v>
      </c>
      <c r="O39" s="1">
        <v>338.72</v>
      </c>
      <c r="P39" s="1">
        <v>1008.9</v>
      </c>
      <c r="Q39" s="1">
        <v>568.76</v>
      </c>
      <c r="R39" s="1">
        <v>1233.92</v>
      </c>
      <c r="S39" s="1">
        <v>532.20000000000005</v>
      </c>
      <c r="T39" s="1">
        <v>856.74</v>
      </c>
      <c r="U39" s="1">
        <v>1527.52</v>
      </c>
      <c r="V39" s="1">
        <v>2082.04</v>
      </c>
      <c r="W39" s="1">
        <v>2051.1</v>
      </c>
      <c r="X39" s="17">
        <v>1989.76</v>
      </c>
      <c r="AA39" s="1"/>
      <c r="AB39" s="1"/>
      <c r="AC39" s="1"/>
      <c r="AD39" s="1"/>
      <c r="AE39" s="1"/>
    </row>
    <row r="40" spans="1:31" ht="13.8" thickBot="1">
      <c r="A40" s="9" t="s">
        <v>45</v>
      </c>
      <c r="B40" s="15">
        <f t="shared" si="3"/>
        <v>0.9962368386791286</v>
      </c>
      <c r="C40" s="135">
        <v>-23482.540000000008</v>
      </c>
      <c r="D40" s="1">
        <v>-15358.499999999996</v>
      </c>
      <c r="E40" s="120">
        <v>48145.279999999999</v>
      </c>
      <c r="F40" s="7">
        <v>24118.02</v>
      </c>
      <c r="G40" s="7">
        <v>28325.439999999999</v>
      </c>
      <c r="H40" s="7">
        <v>27548.32</v>
      </c>
      <c r="I40" s="7">
        <v>33000.36</v>
      </c>
      <c r="J40" s="7">
        <v>28209.22</v>
      </c>
      <c r="K40" s="7">
        <v>25291</v>
      </c>
      <c r="L40" s="7">
        <v>34531</v>
      </c>
      <c r="M40" s="7">
        <v>20128</v>
      </c>
      <c r="N40" s="1">
        <v>28844</v>
      </c>
      <c r="O40" s="7">
        <v>16906.419999999998</v>
      </c>
      <c r="P40" s="7">
        <v>22945.34</v>
      </c>
      <c r="Q40" s="7">
        <v>29529.279999999999</v>
      </c>
      <c r="R40" s="7">
        <v>22273.42</v>
      </c>
      <c r="S40" s="7">
        <v>21053.08</v>
      </c>
      <c r="T40" s="7">
        <v>20500.419999999998</v>
      </c>
      <c r="U40" s="7">
        <v>24953.9</v>
      </c>
      <c r="V40" s="7">
        <v>19397.32</v>
      </c>
      <c r="W40" s="7">
        <v>20696</v>
      </c>
      <c r="X40" s="23">
        <v>15160</v>
      </c>
      <c r="AA40" s="1"/>
      <c r="AB40" s="1"/>
      <c r="AC40" s="1"/>
      <c r="AD40" s="1"/>
      <c r="AE40" s="1"/>
    </row>
    <row r="41" spans="1:31" ht="13.8" thickBot="1">
      <c r="A41" s="11" t="s">
        <v>21</v>
      </c>
      <c r="B41" s="94">
        <f t="shared" si="3"/>
        <v>0.99369805417182211</v>
      </c>
      <c r="C41" s="136">
        <v>-47623.100000000035</v>
      </c>
      <c r="D41" s="89">
        <v>-32817.579999999987</v>
      </c>
      <c r="E41" s="137">
        <f>SUM(E31:E40)</f>
        <v>261859.39999999997</v>
      </c>
      <c r="F41" s="21">
        <f t="shared" ref="F41:L41" si="4">SUM(F31:F40)</f>
        <v>131343.56</v>
      </c>
      <c r="G41" s="21">
        <f t="shared" si="4"/>
        <v>177628.1</v>
      </c>
      <c r="H41" s="21">
        <f t="shared" si="4"/>
        <v>178277.03999999998</v>
      </c>
      <c r="I41" s="21">
        <f t="shared" si="4"/>
        <v>207748</v>
      </c>
      <c r="J41" s="21">
        <f t="shared" si="4"/>
        <v>184371.62</v>
      </c>
      <c r="K41" s="21">
        <f t="shared" si="4"/>
        <v>206398</v>
      </c>
      <c r="L41" s="21">
        <f t="shared" si="4"/>
        <v>244630</v>
      </c>
      <c r="M41" s="21">
        <v>192180</v>
      </c>
      <c r="N41" s="89">
        <f>SUM(N31:N40)</f>
        <v>203144</v>
      </c>
      <c r="O41" s="21">
        <f>SUM(O31:O40)</f>
        <v>200297.26</v>
      </c>
      <c r="P41" s="21">
        <f>SUM(P31:P40)</f>
        <v>235100.34</v>
      </c>
      <c r="Q41" s="21">
        <f t="shared" ref="Q41:X41" si="5">SUM(Q31:Q40)</f>
        <v>262912.33999999997</v>
      </c>
      <c r="R41" s="21">
        <f t="shared" si="5"/>
        <v>212643.88000000006</v>
      </c>
      <c r="S41" s="21">
        <f t="shared" si="5"/>
        <v>252585.8</v>
      </c>
      <c r="T41" s="21">
        <f t="shared" si="5"/>
        <v>221403.78000000003</v>
      </c>
      <c r="U41" s="21">
        <f t="shared" si="5"/>
        <v>256589.47999999995</v>
      </c>
      <c r="V41" s="21">
        <f t="shared" si="5"/>
        <v>215421.62000000005</v>
      </c>
      <c r="W41" s="21">
        <f t="shared" si="5"/>
        <v>220282.62000000002</v>
      </c>
      <c r="X41" s="24">
        <f t="shared" si="5"/>
        <v>192811.78000000003</v>
      </c>
      <c r="AA41" s="1"/>
      <c r="AB41" s="1"/>
      <c r="AC41" s="1"/>
      <c r="AD41" s="1"/>
      <c r="AE41" s="1"/>
    </row>
    <row r="42" spans="1:31" s="1" customFormat="1">
      <c r="A42"/>
      <c r="B42"/>
      <c r="C42"/>
      <c r="D42"/>
      <c r="E42"/>
      <c r="G42" s="117"/>
      <c r="H42" s="117"/>
      <c r="I42" s="118"/>
    </row>
    <row r="43" spans="1:31">
      <c r="AA43" s="1"/>
      <c r="AB43" s="1"/>
      <c r="AC43" s="1"/>
      <c r="AD43" s="1"/>
      <c r="AE43" s="1"/>
    </row>
    <row r="48" spans="1:31" ht="17.399999999999999">
      <c r="W48" s="4"/>
      <c r="X48" s="1"/>
      <c r="Y48" s="1"/>
    </row>
    <row r="49" spans="6:25" ht="17.399999999999999" hidden="1">
      <c r="F49" s="131"/>
      <c r="G49" s="118"/>
      <c r="H49" s="118" t="e">
        <f>#REF!*42*0.453592</f>
        <v>#REF!</v>
      </c>
      <c r="W49" s="4"/>
      <c r="X49" s="1"/>
      <c r="Y49" s="1"/>
    </row>
    <row r="50" spans="6:25" ht="17.399999999999999" hidden="1">
      <c r="F50" s="1"/>
      <c r="G50" s="118"/>
      <c r="H50" s="118" t="e">
        <f>#REF!*42*0.45359237</f>
        <v>#REF!</v>
      </c>
      <c r="W50" s="4"/>
      <c r="X50" s="1"/>
      <c r="Y50" s="1"/>
    </row>
    <row r="51" spans="6:25" ht="17.399999999999999" hidden="1">
      <c r="F51" s="131"/>
      <c r="G51" s="118"/>
      <c r="H51" s="118" t="e">
        <f>#REF!*42*0.453592</f>
        <v>#REF!</v>
      </c>
      <c r="W51" s="4"/>
      <c r="X51" s="1"/>
      <c r="Y51" s="1"/>
    </row>
    <row r="52" spans="6:25" ht="17.399999999999999" hidden="1">
      <c r="W52" s="4"/>
      <c r="X52" s="1"/>
      <c r="Y52" s="1"/>
    </row>
    <row r="53" spans="6:25" ht="17.399999999999999">
      <c r="W53" s="4"/>
      <c r="X53" s="1"/>
      <c r="Y53" s="1"/>
    </row>
    <row r="54" spans="6:25" ht="17.399999999999999">
      <c r="W54" s="4"/>
      <c r="X54" s="1"/>
      <c r="Y54" s="1"/>
    </row>
    <row r="55" spans="6:25" ht="17.399999999999999">
      <c r="W55" s="4"/>
      <c r="X55" s="1"/>
      <c r="Y55" s="1"/>
    </row>
    <row r="56" spans="6:25" ht="17.399999999999999">
      <c r="W56" s="4"/>
      <c r="X56" s="1"/>
      <c r="Y56" s="1"/>
    </row>
    <row r="57" spans="6:25" ht="17.399999999999999">
      <c r="W57" s="4"/>
      <c r="X57" s="1"/>
      <c r="Y57" s="1"/>
    </row>
    <row r="58" spans="6:25" ht="17.399999999999999">
      <c r="W58" s="5"/>
      <c r="X58" s="1"/>
      <c r="Y58" s="1"/>
    </row>
    <row r="59" spans="6:25" ht="18">
      <c r="W59" s="6"/>
      <c r="X59" s="2"/>
      <c r="Y59" s="2"/>
    </row>
  </sheetData>
  <conditionalFormatting sqref="E1:E41">
    <cfRule type="expression" dxfId="29" priority="1">
      <formula>ISBLANK(XFD1)=FALSE</formula>
    </cfRule>
  </conditionalFormatting>
  <pageMargins left="0.75" right="0.75" top="1" bottom="1" header="0.5" footer="0.5"/>
  <pageSetup paperSize="9" orientation="landscape"/>
  <headerFooter alignWithMargins="0"/>
  <ignoredErrors>
    <ignoredError sqref="I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81"/>
  <sheetViews>
    <sheetView tabSelected="1" zoomScaleNormal="100" workbookViewId="0"/>
  </sheetViews>
  <sheetFormatPr defaultColWidth="9.109375" defaultRowHeight="13.2"/>
  <cols>
    <col min="1" max="1" width="21.6640625" customWidth="1"/>
    <col min="2" max="2" width="10.6640625" customWidth="1"/>
    <col min="3" max="3" width="11.33203125" customWidth="1"/>
    <col min="4" max="4" width="11.33203125" bestFit="1" customWidth="1"/>
    <col min="5" max="5" width="11.33203125" customWidth="1"/>
    <col min="6" max="13" width="11.44140625" style="26" customWidth="1"/>
    <col min="14" max="14" width="10.6640625" style="26" customWidth="1"/>
    <col min="15" max="24" width="10.109375" style="26" bestFit="1" customWidth="1"/>
    <col min="25" max="25" width="9.109375" style="26"/>
    <col min="26" max="26" width="21.6640625" style="26" customWidth="1"/>
    <col min="27" max="27" width="11.44140625" style="26" customWidth="1"/>
    <col min="28" max="16384" width="9.109375" style="26"/>
  </cols>
  <sheetData>
    <row r="1" spans="1:29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43">
        <v>42339</v>
      </c>
      <c r="P1" s="43">
        <v>41974</v>
      </c>
      <c r="Q1" s="43">
        <v>41609</v>
      </c>
      <c r="R1" s="43">
        <v>41244</v>
      </c>
      <c r="S1" s="43">
        <v>40878</v>
      </c>
      <c r="T1" s="43">
        <v>40513</v>
      </c>
      <c r="U1" s="43">
        <v>40148</v>
      </c>
      <c r="V1" s="43">
        <v>39783</v>
      </c>
      <c r="W1" s="28">
        <v>39417</v>
      </c>
      <c r="X1" s="44">
        <v>39052</v>
      </c>
      <c r="Z1" s="45"/>
      <c r="AA1" s="45"/>
      <c r="AB1" s="46"/>
      <c r="AC1" s="46"/>
    </row>
    <row r="2" spans="1:29">
      <c r="A2" s="140" t="s">
        <v>7</v>
      </c>
      <c r="B2" s="15">
        <f t="shared" ref="B2:B16" si="0">IFERROR(((E2-F2)/F2),"")</f>
        <v>0.84686678582955977</v>
      </c>
      <c r="C2" s="135">
        <v>-9046.9360396072589</v>
      </c>
      <c r="D2" s="1">
        <v>-6301.9797766131524</v>
      </c>
      <c r="E2" s="120">
        <f>Austria!E$21</f>
        <v>111459.17507150385</v>
      </c>
      <c r="F2" s="73">
        <f>Austria!F$21</f>
        <v>60350.41396959206</v>
      </c>
      <c r="G2" s="73">
        <f>Austria!G$21</f>
        <v>92742.706608460037</v>
      </c>
      <c r="H2" s="73">
        <f>Austria!H$21</f>
        <v>121577.22832722834</v>
      </c>
      <c r="I2" s="73">
        <f>Austria!I$21</f>
        <v>97808.134920634926</v>
      </c>
      <c r="J2" s="73">
        <f>Austria!J$21</f>
        <v>93104.699999999983</v>
      </c>
      <c r="K2" s="73">
        <f>Austria!K$21</f>
        <v>97417</v>
      </c>
      <c r="L2" s="73">
        <v>115430</v>
      </c>
      <c r="M2" s="73">
        <v>63153</v>
      </c>
      <c r="N2" s="47">
        <f>Austria!N$21</f>
        <v>31152.880000000005</v>
      </c>
      <c r="O2" s="47">
        <f>Austria!O$21</f>
        <v>131431.32</v>
      </c>
      <c r="P2" s="47">
        <f>Austria!P$21</f>
        <v>134739.32</v>
      </c>
      <c r="Q2" s="47">
        <f>Austria!Q$21</f>
        <v>122136</v>
      </c>
      <c r="R2" s="47">
        <f>Austria!R$21</f>
        <v>116061</v>
      </c>
      <c r="S2" s="47">
        <f>Austria!S$21</f>
        <v>0</v>
      </c>
      <c r="T2" s="47">
        <f>Austria!T$21</f>
        <v>144302</v>
      </c>
      <c r="U2" s="47">
        <f>Austria!U$21</f>
        <v>144830</v>
      </c>
      <c r="V2" s="47">
        <v>128461</v>
      </c>
      <c r="W2" s="47">
        <v>131666</v>
      </c>
      <c r="X2" s="48">
        <v>115283</v>
      </c>
      <c r="AB2" s="31"/>
      <c r="AC2" s="31"/>
    </row>
    <row r="3" spans="1:29">
      <c r="A3" s="140" t="s">
        <v>137</v>
      </c>
      <c r="B3" s="15">
        <f t="shared" si="0"/>
        <v>0.34233602027313559</v>
      </c>
      <c r="C3" s="135">
        <v>-23695.996531117795</v>
      </c>
      <c r="D3" s="1">
        <v>-17916.548224238941</v>
      </c>
      <c r="E3" s="120">
        <f>Belgium!E$10</f>
        <v>129301.74124941972</v>
      </c>
      <c r="F3" s="73">
        <f>Belgium!F$10</f>
        <v>96325.911915192206</v>
      </c>
      <c r="G3" s="73">
        <f>Belgium!G$10</f>
        <v>129829.90113818999</v>
      </c>
      <c r="H3" s="73">
        <f>Belgium!H$10</f>
        <v>119718.8894735458</v>
      </c>
      <c r="I3" s="73">
        <f>Belgium!I$10</f>
        <v>168195</v>
      </c>
      <c r="J3" s="73">
        <f>Belgium!J$10</f>
        <v>91733</v>
      </c>
      <c r="K3" s="73">
        <f>Belgium!K$10</f>
        <v>171317</v>
      </c>
      <c r="L3" s="73">
        <v>187712</v>
      </c>
      <c r="M3" s="73">
        <v>33761</v>
      </c>
      <c r="N3" s="31">
        <f>Belgium!N$10</f>
        <v>135162</v>
      </c>
      <c r="O3" s="31">
        <f>Belgium!O$10</f>
        <v>199542</v>
      </c>
      <c r="P3" s="31">
        <f>Belgium!P$10</f>
        <v>207617</v>
      </c>
      <c r="Q3" s="31">
        <f>Belgium!Q$10</f>
        <v>149510</v>
      </c>
      <c r="R3" s="31">
        <f>Belgium!R$10</f>
        <v>131265</v>
      </c>
      <c r="S3" s="31">
        <f>Belgium!S$10</f>
        <v>138040</v>
      </c>
      <c r="T3" s="31">
        <f>Belgium!T$10</f>
        <v>122500</v>
      </c>
      <c r="U3" s="31">
        <f>Belgium!U$10</f>
        <v>170000</v>
      </c>
      <c r="V3" s="31">
        <v>207300</v>
      </c>
      <c r="W3" s="31">
        <v>182600</v>
      </c>
      <c r="X3" s="32">
        <v>192800</v>
      </c>
      <c r="AB3" s="31"/>
      <c r="AC3" s="31"/>
    </row>
    <row r="4" spans="1:29">
      <c r="A4" s="140" t="s">
        <v>29</v>
      </c>
      <c r="B4" s="15">
        <f t="shared" si="0"/>
        <v>1.8959003215434083</v>
      </c>
      <c r="C4" s="135">
        <v>6675</v>
      </c>
      <c r="D4" s="1">
        <v>-4586</v>
      </c>
      <c r="E4" s="120">
        <f>'Czech Republic'!E$12</f>
        <v>50435</v>
      </c>
      <c r="F4" s="73">
        <f>'Czech Republic'!F$12</f>
        <v>17416</v>
      </c>
      <c r="G4" s="73">
        <f>'Czech Republic'!G$12</f>
        <v>44364</v>
      </c>
      <c r="H4" s="73">
        <f>'Czech Republic'!H$12</f>
        <v>64817</v>
      </c>
      <c r="I4" s="73">
        <f>'Czech Republic'!I$12</f>
        <v>52863</v>
      </c>
      <c r="J4" s="73">
        <f>'Czech Republic'!J$12</f>
        <v>54977</v>
      </c>
      <c r="K4" s="73">
        <f>'Czech Republic'!K$12</f>
        <v>40703</v>
      </c>
      <c r="L4" s="73">
        <v>66199</v>
      </c>
      <c r="M4" s="73">
        <v>41155</v>
      </c>
      <c r="N4" s="31">
        <f>'Czech Republic'!N$12</f>
        <v>42616</v>
      </c>
      <c r="O4" s="31">
        <f>'Czech Republic'!O$12</f>
        <v>55781</v>
      </c>
      <c r="P4" s="31">
        <f>'Czech Republic'!P$12</f>
        <v>49757</v>
      </c>
      <c r="Q4" s="31">
        <f>'Czech Republic'!Q$12</f>
        <v>39379</v>
      </c>
      <c r="R4" s="31">
        <f>'Czech Republic'!R$12</f>
        <v>38566</v>
      </c>
      <c r="S4" s="31">
        <f>'Czech Republic'!S$12</f>
        <v>26224</v>
      </c>
      <c r="T4" s="31">
        <f>'Czech Republic'!T$12</f>
        <v>29695</v>
      </c>
      <c r="U4" s="31">
        <f>'Czech Republic'!U$12</f>
        <v>42697</v>
      </c>
      <c r="V4" s="31">
        <v>48667</v>
      </c>
      <c r="W4" s="31">
        <v>31931</v>
      </c>
      <c r="X4" s="32">
        <v>39169</v>
      </c>
      <c r="AB4" s="31"/>
      <c r="AC4" s="31"/>
    </row>
    <row r="5" spans="1:29">
      <c r="A5" s="140" t="s">
        <v>38</v>
      </c>
      <c r="B5" s="15">
        <f t="shared" si="0"/>
        <v>-0.17011103006726638</v>
      </c>
      <c r="C5" s="135">
        <v>-3390</v>
      </c>
      <c r="D5" s="1">
        <v>-2630</v>
      </c>
      <c r="E5" s="120">
        <f>Denmark!E$20</f>
        <v>10240</v>
      </c>
      <c r="F5" s="73">
        <f>Denmark!F$20</f>
        <v>12339</v>
      </c>
      <c r="G5" s="73">
        <f>Denmark!G$20</f>
        <v>8870</v>
      </c>
      <c r="H5" s="73">
        <f>Denmark!H$20</f>
        <v>10876</v>
      </c>
      <c r="I5" s="73">
        <f>Denmark!I$20</f>
        <v>11125</v>
      </c>
      <c r="J5" s="73">
        <f>Denmark!J$20</f>
        <v>6675</v>
      </c>
      <c r="K5" s="73">
        <f>Denmark!K$20</f>
        <v>9166</v>
      </c>
      <c r="L5" s="73">
        <v>14796</v>
      </c>
      <c r="M5" s="73">
        <v>7880</v>
      </c>
      <c r="N5" s="31">
        <f>Denmark!N$20</f>
        <v>13556</v>
      </c>
      <c r="O5" s="31">
        <f>Denmark!O$20</f>
        <v>12287</v>
      </c>
      <c r="P5" s="31">
        <f>Denmark!P$20</f>
        <v>11281</v>
      </c>
      <c r="Q5" s="31">
        <f>Denmark!Q$20</f>
        <v>11105</v>
      </c>
      <c r="R5" s="31">
        <f>Denmark!R$20</f>
        <v>7794</v>
      </c>
      <c r="S5" s="31">
        <f>Denmark!S$20</f>
        <v>9979</v>
      </c>
      <c r="T5" s="31">
        <f>Denmark!T$20</f>
        <v>8558</v>
      </c>
      <c r="U5" s="31">
        <f>Denmark!U$20</f>
        <v>10437</v>
      </c>
      <c r="V5" s="31">
        <v>13336</v>
      </c>
      <c r="W5" s="31">
        <v>9863</v>
      </c>
      <c r="X5" s="32">
        <v>8258</v>
      </c>
      <c r="AA5" s="31"/>
      <c r="AB5" s="31"/>
      <c r="AC5" s="31"/>
    </row>
    <row r="6" spans="1:29">
      <c r="A6" s="80" t="s">
        <v>20</v>
      </c>
      <c r="B6" s="15">
        <f t="shared" si="0"/>
        <v>2.8396336535871418E-2</v>
      </c>
      <c r="C6" s="135">
        <v>-65633</v>
      </c>
      <c r="D6" s="1">
        <v>-40244</v>
      </c>
      <c r="E6" s="120">
        <f>France!E$26</f>
        <v>733008</v>
      </c>
      <c r="F6" s="73">
        <f>France!F$26</f>
        <v>712768</v>
      </c>
      <c r="G6" s="73">
        <f>France!G$26</f>
        <v>715814</v>
      </c>
      <c r="H6" s="73">
        <f>France!H$26</f>
        <v>637304</v>
      </c>
      <c r="I6" s="73">
        <f>France!I$26</f>
        <v>692608</v>
      </c>
      <c r="J6" s="73">
        <f>France!J$26</f>
        <v>650624</v>
      </c>
      <c r="K6" s="73">
        <f>France!K$26</f>
        <v>783522</v>
      </c>
      <c r="L6" s="73">
        <v>670544</v>
      </c>
      <c r="M6" s="73">
        <v>634624</v>
      </c>
      <c r="N6" s="31">
        <f>France!N$26</f>
        <v>618910</v>
      </c>
      <c r="O6" s="31">
        <f>France!O$26</f>
        <v>659900</v>
      </c>
      <c r="P6" s="31">
        <f>France!P$26</f>
        <v>588688</v>
      </c>
      <c r="Q6" s="31">
        <f>France!Q$26</f>
        <v>683677</v>
      </c>
      <c r="R6" s="31">
        <f>France!R$26</f>
        <v>416465</v>
      </c>
      <c r="S6" s="31">
        <f>France!S$26</f>
        <v>648826</v>
      </c>
      <c r="T6" s="31">
        <f>France!T$26</f>
        <v>639091</v>
      </c>
      <c r="U6" s="31">
        <f>France!U$26</f>
        <v>659972</v>
      </c>
      <c r="V6" s="31">
        <v>508982</v>
      </c>
      <c r="W6" s="31"/>
      <c r="X6" s="32"/>
      <c r="AB6" s="31"/>
      <c r="AC6" s="31"/>
    </row>
    <row r="7" spans="1:29">
      <c r="A7" s="140" t="s">
        <v>26</v>
      </c>
      <c r="B7" s="15">
        <f t="shared" si="0"/>
        <v>0.50381688091103571</v>
      </c>
      <c r="C7" s="135">
        <v>-30594</v>
      </c>
      <c r="D7" s="1">
        <v>-31156</v>
      </c>
      <c r="E7" s="120">
        <f>Germany!E$21</f>
        <v>395764</v>
      </c>
      <c r="F7" s="73">
        <f>Germany!F$21</f>
        <v>263173</v>
      </c>
      <c r="G7" s="73">
        <f>Germany!G$21</f>
        <v>313770</v>
      </c>
      <c r="H7" s="73">
        <f>Germany!H$21</f>
        <v>387166</v>
      </c>
      <c r="I7" s="73">
        <f>Germany!I$21</f>
        <v>351306</v>
      </c>
      <c r="J7" s="73">
        <f>Germany!J$21</f>
        <v>338942</v>
      </c>
      <c r="K7" s="73">
        <f>Germany!K$21</f>
        <v>343034</v>
      </c>
      <c r="L7" s="73">
        <v>413686</v>
      </c>
      <c r="M7" s="73">
        <v>225768</v>
      </c>
      <c r="N7" s="31">
        <f>Germany!N$21</f>
        <v>400338</v>
      </c>
      <c r="O7" s="31">
        <f>Germany!O$21</f>
        <v>385050</v>
      </c>
      <c r="P7" s="31">
        <f>Germany!P$21</f>
        <v>419117</v>
      </c>
      <c r="Q7" s="31">
        <f>Germany!Q$21</f>
        <v>308154</v>
      </c>
      <c r="R7" s="31">
        <f>Germany!R$21</f>
        <v>376051</v>
      </c>
      <c r="S7" s="31">
        <f>Germany!S$21</f>
        <v>390309</v>
      </c>
      <c r="T7" s="31">
        <f>Germany!T$21</f>
        <v>313492</v>
      </c>
      <c r="U7" s="31">
        <f>Germany!U$21</f>
        <v>417232</v>
      </c>
      <c r="V7" s="31">
        <v>361111</v>
      </c>
      <c r="W7" s="31">
        <v>344040</v>
      </c>
      <c r="X7" s="32">
        <v>326018</v>
      </c>
      <c r="AB7" s="31"/>
      <c r="AC7" s="31"/>
    </row>
    <row r="8" spans="1:29">
      <c r="A8" s="140" t="s">
        <v>15</v>
      </c>
      <c r="B8" s="15">
        <f t="shared" si="0"/>
        <v>1.8021102069355057E-2</v>
      </c>
      <c r="C8" s="135">
        <v>-134114</v>
      </c>
      <c r="D8" s="1">
        <v>-92584.960192935774</v>
      </c>
      <c r="E8" s="120">
        <f>Italy!E$20</f>
        <v>1527078</v>
      </c>
      <c r="F8" s="73">
        <f>Italy!F$20</f>
        <v>1500045.5264590029</v>
      </c>
      <c r="G8" s="73">
        <f>Italy!G$20</f>
        <v>1380125.7278411819</v>
      </c>
      <c r="H8" s="73">
        <f>Italy!H$20</f>
        <v>1326182.1164328633</v>
      </c>
      <c r="I8" s="73">
        <f>Italy!I$20</f>
        <v>1357556.4518311606</v>
      </c>
      <c r="J8" s="73">
        <f>Italy!J$20</f>
        <v>1364134.9950000001</v>
      </c>
      <c r="K8" s="73">
        <f>Italy!K$20</f>
        <v>1349020</v>
      </c>
      <c r="L8" s="73">
        <v>1491242</v>
      </c>
      <c r="M8" s="73">
        <v>1007499</v>
      </c>
      <c r="N8" s="31">
        <f>Italy!N$20</f>
        <v>1487735.7000000002</v>
      </c>
      <c r="O8" s="31">
        <f>Italy!O$20</f>
        <v>1494682.91</v>
      </c>
      <c r="P8" s="31">
        <f>Italy!P$20</f>
        <v>1601128</v>
      </c>
      <c r="Q8" s="31">
        <f>Italy!Q$20</f>
        <v>1407093</v>
      </c>
      <c r="R8" s="31">
        <f>Italy!R$20</f>
        <v>1215407</v>
      </c>
      <c r="S8" s="31">
        <f>Italy!S$20</f>
        <v>1423375</v>
      </c>
      <c r="T8" s="31">
        <f>Italy!T$20</f>
        <v>1442097</v>
      </c>
      <c r="U8" s="31">
        <f>Italy!U$20</f>
        <v>1453791.7800000003</v>
      </c>
      <c r="V8" s="31">
        <v>1399479.5249999999</v>
      </c>
      <c r="W8" s="31">
        <v>1298109.0249999999</v>
      </c>
      <c r="X8" s="32">
        <v>1197785</v>
      </c>
      <c r="AB8" s="31"/>
      <c r="AC8" s="31"/>
    </row>
    <row r="9" spans="1:29">
      <c r="A9" s="80" t="s">
        <v>30</v>
      </c>
      <c r="B9" s="15">
        <f t="shared" si="0"/>
        <v>0.12933458294283037</v>
      </c>
      <c r="C9" s="135"/>
      <c r="D9" s="1"/>
      <c r="E9" s="120">
        <f>Poland!E$18</f>
        <v>1205000</v>
      </c>
      <c r="F9" s="73">
        <f>Poland!F$18</f>
        <v>1067000</v>
      </c>
      <c r="G9" s="73">
        <f>Poland!G$18</f>
        <v>1225000</v>
      </c>
      <c r="H9" s="73">
        <f>Poland!H$18</f>
        <v>1420000</v>
      </c>
      <c r="I9" s="73">
        <f>Poland!I$18</f>
        <v>1695000</v>
      </c>
      <c r="J9" s="73">
        <f>Poland!J$18</f>
        <v>1600000</v>
      </c>
      <c r="K9" s="73">
        <f>Poland!K$18</f>
        <v>1127000</v>
      </c>
      <c r="L9" s="73">
        <v>1705000</v>
      </c>
      <c r="M9" s="73">
        <v>1039000</v>
      </c>
      <c r="N9" s="31">
        <f>Poland!N$18</f>
        <v>1460000</v>
      </c>
      <c r="O9" s="31">
        <f>Poland!O$18</f>
        <v>1501000</v>
      </c>
      <c r="P9" s="31">
        <f>Poland!P$18</f>
        <v>1466000</v>
      </c>
      <c r="Q9" s="31">
        <f>Poland!Q$18</f>
        <v>1243000</v>
      </c>
      <c r="R9" s="31">
        <f>Poland!R$18</f>
        <v>1208000</v>
      </c>
      <c r="S9" s="31">
        <f>Poland!S$18</f>
        <v>1057000</v>
      </c>
      <c r="T9" s="31">
        <f>Poland!T$18</f>
        <v>450000</v>
      </c>
      <c r="U9" s="31">
        <f>Poland!U$18</f>
        <v>700000</v>
      </c>
      <c r="V9" s="31">
        <v>650000</v>
      </c>
      <c r="W9" s="31">
        <v>380000</v>
      </c>
      <c r="X9" s="32">
        <v>500000</v>
      </c>
      <c r="AB9" s="31"/>
      <c r="AC9" s="31"/>
    </row>
    <row r="10" spans="1:29" hidden="1">
      <c r="A10" s="80" t="s">
        <v>145</v>
      </c>
      <c r="B10" s="138" t="str">
        <f t="shared" si="0"/>
        <v/>
      </c>
      <c r="C10" s="139">
        <v>0</v>
      </c>
      <c r="D10" s="1">
        <v>0</v>
      </c>
      <c r="E10" s="120"/>
      <c r="F10" s="73"/>
      <c r="G10" s="73"/>
      <c r="H10" s="73"/>
      <c r="I10" s="73"/>
      <c r="J10" s="73">
        <f>Portugal!J$9</f>
        <v>0</v>
      </c>
      <c r="K10" s="73">
        <f>Portugal!K$9</f>
        <v>0</v>
      </c>
      <c r="L10" s="73">
        <v>0</v>
      </c>
      <c r="M10" s="73">
        <v>0</v>
      </c>
      <c r="N10" s="31">
        <f>Portugal!N$9</f>
        <v>0</v>
      </c>
      <c r="O10" s="31">
        <f>Portugal!O$9</f>
        <v>0</v>
      </c>
      <c r="P10" s="31">
        <f>Portugal!P$9</f>
        <v>0</v>
      </c>
      <c r="Q10" s="31">
        <f>Portugal!S$9</f>
        <v>0</v>
      </c>
      <c r="R10" s="31">
        <f>Portugal!T$9</f>
        <v>0</v>
      </c>
      <c r="S10" s="31">
        <f>Portugal!U$9</f>
        <v>0</v>
      </c>
      <c r="T10" s="31">
        <f>Portugal!V$9</f>
        <v>0</v>
      </c>
      <c r="U10" s="31">
        <f>Portugal!W$9</f>
        <v>0</v>
      </c>
      <c r="V10" s="31">
        <v>0</v>
      </c>
      <c r="W10" s="31">
        <v>0</v>
      </c>
      <c r="X10" s="32">
        <v>0</v>
      </c>
      <c r="AB10" s="31"/>
      <c r="AC10" s="31"/>
    </row>
    <row r="11" spans="1:29" hidden="1">
      <c r="A11" s="80" t="s">
        <v>161</v>
      </c>
      <c r="B11" s="15" t="str">
        <f t="shared" si="0"/>
        <v/>
      </c>
      <c r="C11" s="135">
        <v>-16469.91</v>
      </c>
      <c r="D11" s="1">
        <v>-13037.880000000001</v>
      </c>
      <c r="E11" s="120"/>
      <c r="F11" s="73"/>
      <c r="G11" s="73"/>
      <c r="H11" s="73"/>
      <c r="I11" s="73"/>
      <c r="J11" s="73"/>
      <c r="K11" s="73"/>
      <c r="L11" s="73"/>
      <c r="M11" s="73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2"/>
      <c r="AB11" s="31"/>
      <c r="AC11" s="31"/>
    </row>
    <row r="12" spans="1:29">
      <c r="A12" s="140" t="s">
        <v>35</v>
      </c>
      <c r="B12" s="15">
        <f t="shared" si="0"/>
        <v>-1.9109846024156192E-3</v>
      </c>
      <c r="C12" s="135">
        <v>-2338</v>
      </c>
      <c r="D12" s="1">
        <v>-7827.4025687625399</v>
      </c>
      <c r="E12" s="120">
        <f>Spain!E$8</f>
        <v>224421</v>
      </c>
      <c r="F12" s="73">
        <f>Spain!F$8</f>
        <v>224850.6861991692</v>
      </c>
      <c r="G12" s="73">
        <f>Spain!G$8</f>
        <v>207176.90763664857</v>
      </c>
      <c r="H12" s="73">
        <f>Spain!H$8</f>
        <v>183373.86939284808</v>
      </c>
      <c r="I12" s="73">
        <f>Spain!I$8</f>
        <v>258782.66864010144</v>
      </c>
      <c r="J12" s="73">
        <f>Spain!J$8</f>
        <v>182738.56914823313</v>
      </c>
      <c r="K12" s="73">
        <f>Spain!K$8</f>
        <v>297163.38084364199</v>
      </c>
      <c r="L12" s="73">
        <v>225896</v>
      </c>
      <c r="M12" s="73">
        <v>214382</v>
      </c>
      <c r="N12" s="31">
        <f>Spain!N$8</f>
        <v>248787.76347932007</v>
      </c>
      <c r="O12" s="31">
        <f>Spain!O$8</f>
        <v>201090.27367428067</v>
      </c>
      <c r="P12" s="31">
        <f>Spain!P$8</f>
        <v>227090.25764878167</v>
      </c>
      <c r="Q12" s="31">
        <f>Spain!Q$8</f>
        <v>195919.4703704314</v>
      </c>
      <c r="R12" s="31">
        <f>Spain!R$8</f>
        <v>145855</v>
      </c>
      <c r="S12" s="31">
        <f>Spain!S$8</f>
        <v>212582</v>
      </c>
      <c r="T12" s="31">
        <f>Spain!T$8</f>
        <v>209183</v>
      </c>
      <c r="U12" s="31">
        <f>Spain!U$8</f>
        <v>168764</v>
      </c>
      <c r="V12" s="31">
        <v>217115</v>
      </c>
      <c r="W12" s="31">
        <v>198160</v>
      </c>
      <c r="X12" s="32">
        <v>171293</v>
      </c>
      <c r="AB12" s="31"/>
      <c r="AC12" s="31"/>
    </row>
    <row r="13" spans="1:29">
      <c r="A13" s="140" t="s">
        <v>58</v>
      </c>
      <c r="B13" s="15">
        <f t="shared" si="0"/>
        <v>-2.1988115284523428E-2</v>
      </c>
      <c r="C13" s="135">
        <v>-3754</v>
      </c>
      <c r="D13" s="1">
        <v>-2322</v>
      </c>
      <c r="E13" s="120">
        <f>Switzerland!E$19</f>
        <v>70277</v>
      </c>
      <c r="F13" s="73">
        <f>Switzerland!F$19</f>
        <v>71857</v>
      </c>
      <c r="G13" s="73">
        <f>Switzerland!G$19</f>
        <v>56949</v>
      </c>
      <c r="H13" s="73">
        <f>Switzerland!H$19</f>
        <v>60925</v>
      </c>
      <c r="I13" s="73">
        <f>Switzerland!I$19</f>
        <v>63888</v>
      </c>
      <c r="J13" s="73">
        <f>Switzerland!J$19</f>
        <v>64111</v>
      </c>
      <c r="K13" s="73">
        <f>Switzerland!K$19</f>
        <v>61830</v>
      </c>
      <c r="L13" s="73">
        <v>68488</v>
      </c>
      <c r="M13" s="73">
        <v>41382</v>
      </c>
      <c r="N13" s="31">
        <f>Switzerland!N$19</f>
        <v>63693</v>
      </c>
      <c r="O13" s="31">
        <f>Switzerland!O$19</f>
        <v>62756</v>
      </c>
      <c r="P13" s="31">
        <f>Switzerland!P$19</f>
        <v>63323</v>
      </c>
      <c r="Q13" s="31">
        <f>Switzerland!Q$19</f>
        <v>64590</v>
      </c>
      <c r="R13" s="31">
        <f>Switzerland!R$19</f>
        <v>62096</v>
      </c>
      <c r="S13" s="31">
        <f>Switzerland!S$19</f>
        <v>68136</v>
      </c>
      <c r="T13" s="31">
        <f>Switzerland!T$19</f>
        <v>63359</v>
      </c>
      <c r="U13" s="31">
        <f>Switzerland!U$19</f>
        <v>67200</v>
      </c>
      <c r="V13" s="31">
        <v>59479</v>
      </c>
      <c r="W13" s="31">
        <v>62992</v>
      </c>
      <c r="X13" s="32">
        <v>60711</v>
      </c>
      <c r="AB13" s="31"/>
      <c r="AC13" s="31"/>
    </row>
    <row r="14" spans="1:29">
      <c r="A14" s="140" t="s">
        <v>0</v>
      </c>
      <c r="B14" s="15">
        <f t="shared" si="0"/>
        <v>0.37211208823967806</v>
      </c>
      <c r="C14" s="135">
        <v>-17133</v>
      </c>
      <c r="D14" s="1">
        <v>-8173</v>
      </c>
      <c r="E14" s="120">
        <f>Netherlands!E$8</f>
        <v>165699</v>
      </c>
      <c r="F14" s="73">
        <f>Netherlands!F$8</f>
        <v>120762</v>
      </c>
      <c r="G14" s="73">
        <f>Netherlands!G$8</f>
        <v>117058</v>
      </c>
      <c r="H14" s="73">
        <f>Netherlands!H$8</f>
        <v>148885</v>
      </c>
      <c r="I14" s="73">
        <f>Netherlands!I$8</f>
        <v>153654</v>
      </c>
      <c r="J14" s="73">
        <f>Netherlands!J$8</f>
        <v>145897</v>
      </c>
      <c r="K14" s="73">
        <f>Netherlands!K$8</f>
        <v>177799</v>
      </c>
      <c r="L14" s="73">
        <v>180727.21600000001</v>
      </c>
      <c r="M14" s="73">
        <v>145665</v>
      </c>
      <c r="N14" s="31">
        <f>Netherlands!N$8</f>
        <v>211579</v>
      </c>
      <c r="O14" s="31">
        <f>Netherlands!O$8</f>
        <v>220295</v>
      </c>
      <c r="P14" s="31">
        <f>Netherlands!P$8</f>
        <v>224509</v>
      </c>
      <c r="Q14" s="31">
        <f>Netherlands!Q$8</f>
        <v>224916</v>
      </c>
      <c r="R14" s="31">
        <f>Netherlands!R$8</f>
        <v>196000</v>
      </c>
      <c r="S14" s="31">
        <f>Netherlands!S$8</f>
        <v>269000</v>
      </c>
      <c r="T14" s="31">
        <f>Netherlands!T$8</f>
        <v>202000</v>
      </c>
      <c r="U14" s="31">
        <f>Netherlands!U$8</f>
        <v>268000</v>
      </c>
      <c r="V14" s="31">
        <v>237000</v>
      </c>
      <c r="W14" s="31">
        <v>237000</v>
      </c>
      <c r="X14" s="32">
        <v>215000</v>
      </c>
      <c r="AB14" s="31"/>
      <c r="AC14" s="31"/>
    </row>
    <row r="15" spans="1:29" ht="13.8" thickBot="1">
      <c r="A15" s="141" t="s">
        <v>158</v>
      </c>
      <c r="B15" s="15">
        <f t="shared" si="0"/>
        <v>0.158943932512492</v>
      </c>
      <c r="C15" s="135"/>
      <c r="D15" s="1"/>
      <c r="E15" s="120">
        <f>UK!E12</f>
        <v>132436</v>
      </c>
      <c r="F15" s="73">
        <f>UK!F12</f>
        <v>114273</v>
      </c>
      <c r="G15" s="73"/>
      <c r="H15" s="73"/>
      <c r="I15" s="73"/>
      <c r="J15" s="73">
        <f>UK!J$12</f>
        <v>0</v>
      </c>
      <c r="K15" s="73">
        <f>UK!K$12</f>
        <v>0</v>
      </c>
      <c r="L15" s="73"/>
      <c r="M15" s="74">
        <v>94063</v>
      </c>
      <c r="N15" s="35">
        <f>UK!N$12</f>
        <v>0</v>
      </c>
      <c r="O15" s="35">
        <f>UK!O$12</f>
        <v>150400</v>
      </c>
      <c r="P15" s="35">
        <f>UK!P$12</f>
        <v>157500</v>
      </c>
      <c r="Q15" s="35">
        <f>UK!Q$12</f>
        <v>157200</v>
      </c>
      <c r="R15" s="35">
        <f>UK!R$12</f>
        <v>103000</v>
      </c>
      <c r="S15" s="35">
        <f>UK!S$12</f>
        <v>151500</v>
      </c>
      <c r="T15" s="35">
        <f>UK!T$12</f>
        <v>150000</v>
      </c>
      <c r="U15" s="35">
        <f>UK!U$12</f>
        <v>142600</v>
      </c>
      <c r="V15" s="35">
        <v>122700</v>
      </c>
      <c r="W15" s="35">
        <v>116500</v>
      </c>
      <c r="X15" s="36">
        <v>104200</v>
      </c>
      <c r="AB15" s="31"/>
      <c r="AC15" s="31"/>
    </row>
    <row r="16" spans="1:29" ht="13.8" thickBot="1">
      <c r="A16" s="19" t="s">
        <v>21</v>
      </c>
      <c r="B16" s="94">
        <f t="shared" si="0"/>
        <v>0.11592109081787134</v>
      </c>
      <c r="C16" s="136">
        <f>SUM(C2:C15)</f>
        <v>-299493.84257072501</v>
      </c>
      <c r="D16" s="89">
        <f>SUM(D2:D15)</f>
        <v>-226779.77076255041</v>
      </c>
      <c r="E16" s="137">
        <f t="shared" ref="E16:F16" si="1">SUM(E2:E15)</f>
        <v>4755118.9163209237</v>
      </c>
      <c r="F16" s="39">
        <f t="shared" si="1"/>
        <v>4261160.5385429561</v>
      </c>
      <c r="G16" s="39">
        <f t="shared" ref="G16" si="2">SUM(G2:G15)</f>
        <v>4291700.2432244811</v>
      </c>
      <c r="H16" s="39">
        <f t="shared" ref="H16:K16" si="3">SUM(H2:H15)</f>
        <v>4480825.103626485</v>
      </c>
      <c r="I16" s="39">
        <f t="shared" si="3"/>
        <v>4902786.2553918967</v>
      </c>
      <c r="J16" s="39">
        <f t="shared" si="3"/>
        <v>4592937.2641482335</v>
      </c>
      <c r="K16" s="39">
        <f t="shared" si="3"/>
        <v>4457971.3808436422</v>
      </c>
      <c r="L16" s="39">
        <v>5139720.216</v>
      </c>
      <c r="M16" s="39">
        <v>3548332</v>
      </c>
      <c r="N16" s="39">
        <f t="shared" ref="N16:X16" si="4">SUM(N2:N15)</f>
        <v>4713530.3434793204</v>
      </c>
      <c r="O16" s="39">
        <f t="shared" si="4"/>
        <v>5074215.5036742808</v>
      </c>
      <c r="P16" s="39">
        <f t="shared" si="4"/>
        <v>5150749.5776487822</v>
      </c>
      <c r="Q16" s="39">
        <f t="shared" si="4"/>
        <v>4606679.4703704314</v>
      </c>
      <c r="R16" s="39">
        <f t="shared" si="4"/>
        <v>4016560</v>
      </c>
      <c r="S16" s="39">
        <f t="shared" si="4"/>
        <v>4394971</v>
      </c>
      <c r="T16" s="39">
        <f t="shared" si="4"/>
        <v>3774277</v>
      </c>
      <c r="U16" s="39">
        <f t="shared" si="4"/>
        <v>4245523.78</v>
      </c>
      <c r="V16" s="39">
        <f t="shared" si="4"/>
        <v>3953630.5249999999</v>
      </c>
      <c r="W16" s="39">
        <f t="shared" si="4"/>
        <v>2992861.0249999999</v>
      </c>
      <c r="X16" s="40">
        <f t="shared" si="4"/>
        <v>2930517</v>
      </c>
      <c r="Z16" s="45"/>
      <c r="AB16" s="31"/>
      <c r="AC16" s="31"/>
    </row>
    <row r="17" spans="1:29" s="31" customFormat="1">
      <c r="A17"/>
      <c r="B17" s="22"/>
      <c r="C17" s="22"/>
      <c r="D17" s="22"/>
      <c r="E17" s="22"/>
    </row>
    <row r="18" spans="1:29" ht="13.8" thickBot="1">
      <c r="B18" s="22"/>
      <c r="C18" s="1"/>
      <c r="D18" s="1"/>
      <c r="E18" s="142"/>
      <c r="F18" s="52"/>
      <c r="G18" s="52"/>
      <c r="H18" s="52"/>
      <c r="I18" s="52"/>
      <c r="J18" s="52"/>
      <c r="K18" s="52"/>
      <c r="L18" s="52"/>
      <c r="M18" s="52"/>
      <c r="N18" s="52"/>
      <c r="W18" s="31"/>
      <c r="X18" s="31"/>
      <c r="AB18" s="31"/>
      <c r="AC18" s="31"/>
    </row>
    <row r="19" spans="1:29" ht="13.8" thickBot="1">
      <c r="A19" s="11" t="s">
        <v>23</v>
      </c>
      <c r="B19" s="12" t="s">
        <v>169</v>
      </c>
      <c r="C19" s="132" t="s">
        <v>170</v>
      </c>
      <c r="D19" s="133" t="s">
        <v>168</v>
      </c>
      <c r="E19" s="134">
        <v>45992</v>
      </c>
      <c r="F19" s="13">
        <v>45627</v>
      </c>
      <c r="G19" s="13">
        <v>45261</v>
      </c>
      <c r="H19" s="13">
        <v>44896</v>
      </c>
      <c r="I19" s="13">
        <v>44531</v>
      </c>
      <c r="J19" s="13">
        <v>44166</v>
      </c>
      <c r="K19" s="13">
        <v>43800</v>
      </c>
      <c r="L19" s="13">
        <v>43435</v>
      </c>
      <c r="M19" s="13">
        <v>43070</v>
      </c>
      <c r="N19" s="13">
        <v>42705</v>
      </c>
      <c r="O19" s="43">
        <f>O1</f>
        <v>42339</v>
      </c>
      <c r="P19" s="43">
        <f>P1</f>
        <v>41974</v>
      </c>
      <c r="Q19" s="43">
        <v>41609</v>
      </c>
      <c r="R19" s="43">
        <v>41244</v>
      </c>
      <c r="S19" s="43">
        <v>40878</v>
      </c>
      <c r="T19" s="43">
        <v>40513</v>
      </c>
      <c r="U19" s="43">
        <v>40148</v>
      </c>
      <c r="V19" s="43">
        <v>39783</v>
      </c>
      <c r="W19" s="28">
        <v>39417</v>
      </c>
      <c r="X19" s="44">
        <v>39052</v>
      </c>
      <c r="Z19" s="45"/>
      <c r="AA19" s="45"/>
    </row>
    <row r="20" spans="1:29">
      <c r="A20" s="9" t="s">
        <v>137</v>
      </c>
      <c r="B20" s="15">
        <f t="shared" ref="B20:B33" si="5">IFERROR(((E20-F20)/F20),"")</f>
        <v>0.39391067961006765</v>
      </c>
      <c r="C20" s="135">
        <v>-39626.870355180174</v>
      </c>
      <c r="D20" s="1">
        <v>-25520.097798446281</v>
      </c>
      <c r="E20" s="120">
        <f>Belgium!E$20</f>
        <v>261059.76378019829</v>
      </c>
      <c r="F20" s="31">
        <f>Belgium!F$20</f>
        <v>187285.86242931083</v>
      </c>
      <c r="G20" s="31">
        <f>Belgium!G$20</f>
        <v>266363.38195285958</v>
      </c>
      <c r="H20" s="31">
        <f>Belgium!H$20</f>
        <v>221044.6823573758</v>
      </c>
      <c r="I20" s="31">
        <f>Belgium!I$20</f>
        <v>249449</v>
      </c>
      <c r="J20" s="31">
        <f>Belgium!J$20</f>
        <v>279087</v>
      </c>
      <c r="K20" s="31">
        <f>Belgium!K$20</f>
        <v>213675</v>
      </c>
      <c r="L20" s="31">
        <v>266890</v>
      </c>
      <c r="M20" s="31">
        <v>194885</v>
      </c>
      <c r="N20" s="31">
        <f>Belgium!N$20</f>
        <v>227982</v>
      </c>
      <c r="O20" s="31">
        <f>Belgium!O$20</f>
        <v>270107</v>
      </c>
      <c r="P20" s="31">
        <f>Belgium!P$20</f>
        <v>244970</v>
      </c>
      <c r="Q20" s="31">
        <f>Belgium!Q$20</f>
        <v>209901</v>
      </c>
      <c r="R20" s="31">
        <f>Belgium!R$20</f>
        <v>137139</v>
      </c>
      <c r="S20" s="31">
        <f>Belgium!S$20</f>
        <v>179980</v>
      </c>
      <c r="T20" s="31">
        <f>Belgium!T$20</f>
        <v>144300</v>
      </c>
      <c r="U20" s="31">
        <v>143100</v>
      </c>
      <c r="V20" s="31">
        <v>67300</v>
      </c>
      <c r="W20" s="31">
        <v>126500</v>
      </c>
      <c r="X20" s="32">
        <v>137400</v>
      </c>
    </row>
    <row r="21" spans="1:29">
      <c r="A21" s="9" t="s">
        <v>29</v>
      </c>
      <c r="B21" s="15">
        <f t="shared" si="5"/>
        <v>0.48511099079588521</v>
      </c>
      <c r="C21" s="135">
        <v>2743</v>
      </c>
      <c r="D21" s="1">
        <v>-494</v>
      </c>
      <c r="E21" s="120">
        <f>'Czech Republic'!E$21</f>
        <v>2743</v>
      </c>
      <c r="F21" s="31">
        <f>'Czech Republic'!F$21</f>
        <v>1847</v>
      </c>
      <c r="G21" s="31">
        <f>'Czech Republic'!G$21</f>
        <v>2600</v>
      </c>
      <c r="H21" s="31">
        <f>'Czech Republic'!H$21</f>
        <v>2035</v>
      </c>
      <c r="I21" s="31">
        <f>'Czech Republic'!I$21</f>
        <v>1954</v>
      </c>
      <c r="J21" s="31">
        <f>'Czech Republic'!J$21</f>
        <v>3587</v>
      </c>
      <c r="K21" s="31">
        <f>'Czech Republic'!K$21</f>
        <v>3292</v>
      </c>
      <c r="L21" s="31">
        <v>2348</v>
      </c>
      <c r="M21" s="31">
        <v>1719</v>
      </c>
      <c r="N21" s="31">
        <f>'Czech Republic'!N$21</f>
        <v>1404</v>
      </c>
      <c r="O21" s="31">
        <f>'Czech Republic'!O$21</f>
        <v>4293</v>
      </c>
      <c r="P21" s="31">
        <f>'Czech Republic'!P$21</f>
        <v>598</v>
      </c>
      <c r="Q21" s="31">
        <f>'Czech Republic'!Q$21</f>
        <v>2694</v>
      </c>
      <c r="R21" s="31">
        <f>'Czech Republic'!R$21</f>
        <v>856</v>
      </c>
      <c r="S21" s="31">
        <f>'Czech Republic'!S$21</f>
        <v>1226</v>
      </c>
      <c r="T21" s="31">
        <f>'Czech Republic'!T$21</f>
        <v>683</v>
      </c>
      <c r="U21" s="31">
        <v>687</v>
      </c>
      <c r="V21" s="31">
        <v>0</v>
      </c>
      <c r="W21" s="31">
        <v>38</v>
      </c>
      <c r="X21" s="32">
        <v>156</v>
      </c>
    </row>
    <row r="22" spans="1:29">
      <c r="A22" s="9" t="s">
        <v>38</v>
      </c>
      <c r="B22" s="15">
        <f t="shared" si="5"/>
        <v>-1</v>
      </c>
      <c r="C22" s="135">
        <v>-895</v>
      </c>
      <c r="D22" s="1">
        <v>-381</v>
      </c>
      <c r="E22" s="120">
        <f>Denmark!E$27</f>
        <v>0</v>
      </c>
      <c r="F22" s="31">
        <f>Denmark!F$27</f>
        <v>30</v>
      </c>
      <c r="G22" s="31">
        <f>Denmark!G$27</f>
        <v>36</v>
      </c>
      <c r="H22" s="31">
        <f>Denmark!H$27</f>
        <v>648</v>
      </c>
      <c r="I22" s="31">
        <f>Denmark!I$27</f>
        <v>121</v>
      </c>
      <c r="J22" s="31">
        <f>Denmark!J$27</f>
        <v>117</v>
      </c>
      <c r="K22" s="31">
        <f>Denmark!K$27</f>
        <v>214</v>
      </c>
      <c r="L22" s="31">
        <v>626</v>
      </c>
      <c r="M22" s="31">
        <v>0</v>
      </c>
      <c r="N22" s="31">
        <f>Denmark!N$27</f>
        <v>186</v>
      </c>
      <c r="O22" s="31">
        <f>Denmark!O$27</f>
        <v>859</v>
      </c>
      <c r="P22" s="31">
        <f>Denmark!P$27</f>
        <v>95</v>
      </c>
      <c r="Q22" s="31">
        <f>Denmark!Q$27</f>
        <v>1088</v>
      </c>
      <c r="R22" s="31">
        <f>Denmark!R$27</f>
        <v>98</v>
      </c>
      <c r="S22" s="31">
        <f>Denmark!S$27</f>
        <v>344</v>
      </c>
      <c r="T22" s="31">
        <f>Denmark!T$27</f>
        <v>152</v>
      </c>
      <c r="U22" s="31">
        <v>605</v>
      </c>
      <c r="V22" s="31">
        <v>425</v>
      </c>
      <c r="W22" s="31">
        <v>148</v>
      </c>
      <c r="X22" s="32">
        <v>43</v>
      </c>
    </row>
    <row r="23" spans="1:29" ht="13.5" customHeight="1">
      <c r="A23" s="80" t="s">
        <v>20</v>
      </c>
      <c r="B23" s="138">
        <f t="shared" si="5"/>
        <v>0.11454333664092498</v>
      </c>
      <c r="C23" s="139">
        <v>-11550</v>
      </c>
      <c r="D23" s="1">
        <v>-6932</v>
      </c>
      <c r="E23" s="120">
        <f>France!E38</f>
        <v>25834</v>
      </c>
      <c r="F23" s="73">
        <f>France!F38</f>
        <v>23179</v>
      </c>
      <c r="G23" s="73">
        <f>France!G38</f>
        <v>14003</v>
      </c>
      <c r="H23" s="73">
        <f>France!H38</f>
        <v>13184</v>
      </c>
      <c r="I23" s="73">
        <f>France!I38</f>
        <v>9629</v>
      </c>
      <c r="J23" s="73">
        <f>France!J38</f>
        <v>17314</v>
      </c>
      <c r="K23" s="73">
        <f>France!K38</f>
        <v>14566</v>
      </c>
      <c r="L23" s="31">
        <v>13169</v>
      </c>
      <c r="M23" s="31">
        <v>11812</v>
      </c>
      <c r="N23" s="31">
        <f>France!N38</f>
        <v>12765</v>
      </c>
      <c r="O23" s="31">
        <f>France!O38</f>
        <v>9589</v>
      </c>
      <c r="P23" s="31">
        <f>France!P38</f>
        <v>7766</v>
      </c>
      <c r="Q23" s="31">
        <f>France!Q38</f>
        <v>12345</v>
      </c>
      <c r="R23" s="31">
        <f>France!R38</f>
        <v>5724</v>
      </c>
      <c r="S23" s="31">
        <f>France!S38</f>
        <v>10871</v>
      </c>
      <c r="T23" s="31">
        <f>France!T38</f>
        <v>0</v>
      </c>
      <c r="U23" s="31">
        <v>12393</v>
      </c>
      <c r="V23" s="31">
        <v>5558</v>
      </c>
      <c r="W23" s="31"/>
      <c r="X23" s="32"/>
      <c r="AB23" s="31"/>
      <c r="AC23" s="31"/>
    </row>
    <row r="24" spans="1:29">
      <c r="A24" s="9" t="s">
        <v>26</v>
      </c>
      <c r="B24" s="15">
        <f t="shared" si="5"/>
        <v>-3.9954909819639277E-2</v>
      </c>
      <c r="C24" s="135">
        <v>-2281</v>
      </c>
      <c r="D24" s="1">
        <v>-2682</v>
      </c>
      <c r="E24" s="120">
        <f>Germany!E$26</f>
        <v>7665</v>
      </c>
      <c r="F24" s="31">
        <f>Germany!F$26</f>
        <v>7984</v>
      </c>
      <c r="G24" s="31">
        <f>Germany!G$26</f>
        <v>6483</v>
      </c>
      <c r="H24" s="31">
        <f>Germany!H$26</f>
        <v>5083</v>
      </c>
      <c r="I24" s="31">
        <f>Germany!I$26</f>
        <v>5542</v>
      </c>
      <c r="J24" s="31">
        <f>Germany!J$26</f>
        <v>4953</v>
      </c>
      <c r="K24" s="31">
        <f>Germany!K$26</f>
        <v>5376</v>
      </c>
      <c r="L24" s="31">
        <v>5040</v>
      </c>
      <c r="M24" s="31">
        <v>3221</v>
      </c>
      <c r="N24" s="31">
        <f>Germany!N$26</f>
        <v>3457</v>
      </c>
      <c r="O24" s="31">
        <f>Germany!O$26</f>
        <v>5609</v>
      </c>
      <c r="P24" s="31">
        <f>Germany!P$26</f>
        <v>3339</v>
      </c>
      <c r="Q24" s="31">
        <f>Germany!Q$26</f>
        <v>5436</v>
      </c>
      <c r="R24" s="31">
        <f>Germany!R$26</f>
        <v>2045</v>
      </c>
      <c r="S24" s="31">
        <f>Germany!S$26</f>
        <v>4606</v>
      </c>
      <c r="T24" s="31">
        <f>Germany!T$26</f>
        <v>3862</v>
      </c>
      <c r="U24" s="31">
        <v>4446</v>
      </c>
      <c r="V24" s="31">
        <v>2527</v>
      </c>
      <c r="W24" s="31">
        <v>2243</v>
      </c>
      <c r="X24" s="32">
        <v>2064</v>
      </c>
      <c r="AB24" s="31"/>
      <c r="AC24" s="31"/>
    </row>
    <row r="25" spans="1:29">
      <c r="A25" s="80" t="s">
        <v>15</v>
      </c>
      <c r="B25" s="15">
        <f t="shared" si="5"/>
        <v>-0.26303458721259143</v>
      </c>
      <c r="C25" s="135">
        <v>-20700.456455959546</v>
      </c>
      <c r="D25" s="1">
        <v>-32152.234589557731</v>
      </c>
      <c r="E25" s="120">
        <f>Italy!E$29</f>
        <v>88576.05669792222</v>
      </c>
      <c r="F25" s="31">
        <f>Italy!F$29</f>
        <v>120190.24931292621</v>
      </c>
      <c r="G25" s="31">
        <f>Italy!G$29</f>
        <v>32445.075860505825</v>
      </c>
      <c r="H25" s="31">
        <f>Italy!H$29</f>
        <v>166469.72215302364</v>
      </c>
      <c r="I25" s="31">
        <f>Italy!I$29</f>
        <v>55448.62647562557</v>
      </c>
      <c r="J25" s="31">
        <f>Italy!J$29</f>
        <v>220936.90028619717</v>
      </c>
      <c r="K25" s="31">
        <f>Italy!K$29</f>
        <v>108491.73440712279</v>
      </c>
      <c r="L25" s="31">
        <v>255781.3965072959</v>
      </c>
      <c r="M25" s="31">
        <v>285998</v>
      </c>
      <c r="N25" s="31">
        <f>Italy!N$29</f>
        <v>254320.34380295454</v>
      </c>
      <c r="O25" s="31">
        <f>Italy!O$29</f>
        <v>316542.18760784686</v>
      </c>
      <c r="P25" s="31">
        <f>Italy!P$29</f>
        <v>313943.30568824644</v>
      </c>
      <c r="Q25" s="31">
        <f>Italy!Q$29</f>
        <v>401545.78925758402</v>
      </c>
      <c r="R25" s="31">
        <f>Italy!R$29</f>
        <v>285216</v>
      </c>
      <c r="S25" s="31">
        <f>Italy!S$29</f>
        <v>471554</v>
      </c>
      <c r="T25" s="31">
        <f>Italy!T$29</f>
        <v>216968</v>
      </c>
      <c r="U25" s="31">
        <v>297250</v>
      </c>
      <c r="V25" s="31">
        <v>237404</v>
      </c>
      <c r="W25" s="31">
        <v>278826</v>
      </c>
      <c r="X25" s="32">
        <v>316317</v>
      </c>
      <c r="AB25" s="31"/>
      <c r="AC25" s="31"/>
    </row>
    <row r="26" spans="1:29">
      <c r="A26" s="80" t="s">
        <v>30</v>
      </c>
      <c r="B26" s="15">
        <f t="shared" si="5"/>
        <v>8.9285714285714288E-2</v>
      </c>
      <c r="C26" s="135"/>
      <c r="D26" s="1"/>
      <c r="E26" s="120">
        <f>Poland!E$25</f>
        <v>61000</v>
      </c>
      <c r="F26" s="31">
        <f>Poland!F$25</f>
        <v>56000</v>
      </c>
      <c r="G26" s="31">
        <f>Poland!G$25</f>
        <v>40000</v>
      </c>
      <c r="H26" s="31">
        <f>Poland!H$25</f>
        <v>50000</v>
      </c>
      <c r="I26" s="31">
        <f>Poland!I$25</f>
        <v>41000</v>
      </c>
      <c r="J26" s="31">
        <f>Poland!J$25</f>
        <v>36000</v>
      </c>
      <c r="K26" s="31">
        <f>Poland!K$25</f>
        <v>18000</v>
      </c>
      <c r="L26" s="31"/>
      <c r="M26" s="31">
        <v>13000</v>
      </c>
      <c r="N26" s="31">
        <f>Poland!N$25</f>
        <v>16000</v>
      </c>
      <c r="O26" s="31">
        <f>Poland!O$25</f>
        <v>23000</v>
      </c>
      <c r="P26" s="31">
        <f>Poland!P$25</f>
        <v>13000</v>
      </c>
      <c r="Q26" s="31">
        <f>Poland!Q$25</f>
        <v>30000</v>
      </c>
      <c r="R26" s="31">
        <f>Poland!R$25</f>
        <v>8000</v>
      </c>
      <c r="S26" s="31">
        <f>Poland!S$25</f>
        <v>19000</v>
      </c>
      <c r="T26" s="31">
        <f>Poland!T$25</f>
        <v>22000</v>
      </c>
      <c r="U26" s="31">
        <v>50000</v>
      </c>
      <c r="V26" s="31">
        <v>35000</v>
      </c>
      <c r="W26" s="31">
        <v>18000</v>
      </c>
      <c r="X26" s="32">
        <v>40000</v>
      </c>
      <c r="AB26" s="31"/>
      <c r="AC26" s="31"/>
    </row>
    <row r="27" spans="1:29" hidden="1">
      <c r="A27" s="80" t="s">
        <v>145</v>
      </c>
      <c r="B27" s="143" t="str">
        <f t="shared" si="5"/>
        <v/>
      </c>
      <c r="C27" s="144">
        <v>-90730</v>
      </c>
      <c r="D27" s="97">
        <v>-83563</v>
      </c>
      <c r="E27" s="119">
        <f>Portugal!E$14</f>
        <v>0</v>
      </c>
      <c r="F27" s="73">
        <f>Portugal!F$14</f>
        <v>0</v>
      </c>
      <c r="G27" s="73">
        <f>Portugal!G$14</f>
        <v>0</v>
      </c>
      <c r="H27" s="73">
        <f>Portugal!H$14</f>
        <v>0</v>
      </c>
      <c r="I27" s="73">
        <f>Portugal!I$14</f>
        <v>0</v>
      </c>
      <c r="J27" s="73">
        <f>Portugal!J$14</f>
        <v>0</v>
      </c>
      <c r="K27" s="73">
        <f>Portugal!K$14</f>
        <v>0</v>
      </c>
      <c r="L27" s="73">
        <v>0</v>
      </c>
      <c r="M27" s="73">
        <v>0</v>
      </c>
      <c r="N27" s="31">
        <f>Portugal!N$14</f>
        <v>0</v>
      </c>
      <c r="O27" s="31">
        <f>Portugal!O$14</f>
        <v>0</v>
      </c>
      <c r="P27" s="31">
        <f>Portugal!P$14</f>
        <v>0</v>
      </c>
      <c r="Q27" s="31">
        <f>Portugal!S$14</f>
        <v>0</v>
      </c>
      <c r="R27" s="31">
        <f>Portugal!T$14</f>
        <v>0</v>
      </c>
      <c r="S27" s="31">
        <f>Portugal!U$14</f>
        <v>0</v>
      </c>
      <c r="T27" s="31">
        <f>Portugal!V$14</f>
        <v>0</v>
      </c>
      <c r="U27" s="31">
        <v>0</v>
      </c>
      <c r="V27" s="31">
        <v>0</v>
      </c>
      <c r="W27" s="31">
        <v>0</v>
      </c>
      <c r="X27" s="32">
        <v>0</v>
      </c>
      <c r="AB27" s="31"/>
      <c r="AC27" s="31"/>
    </row>
    <row r="28" spans="1:29" hidden="1">
      <c r="A28" s="80" t="s">
        <v>161</v>
      </c>
      <c r="B28" s="15" t="str">
        <f t="shared" si="5"/>
        <v/>
      </c>
      <c r="C28" s="135">
        <v>-101.77000000000001</v>
      </c>
      <c r="D28" s="1">
        <v>-202.42</v>
      </c>
      <c r="E28" s="120"/>
      <c r="F28" s="73"/>
      <c r="G28" s="73"/>
      <c r="H28" s="73"/>
      <c r="I28" s="73"/>
      <c r="J28" s="73"/>
      <c r="K28" s="73"/>
      <c r="L28" s="73"/>
      <c r="M28" s="73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2"/>
      <c r="AB28" s="31"/>
      <c r="AC28" s="31"/>
    </row>
    <row r="29" spans="1:29">
      <c r="A29" s="9" t="s">
        <v>35</v>
      </c>
      <c r="B29" s="15">
        <f t="shared" si="5"/>
        <v>0.39991441456638183</v>
      </c>
      <c r="C29" s="135">
        <v>-14523</v>
      </c>
      <c r="D29" s="1">
        <v>-12697.763333806666</v>
      </c>
      <c r="E29" s="120">
        <f>Spain!E$17</f>
        <v>49573</v>
      </c>
      <c r="F29" s="31">
        <f>Spain!F$17</f>
        <v>35411.450503104541</v>
      </c>
      <c r="G29" s="31">
        <f>Spain!G$17</f>
        <v>55799.569526380816</v>
      </c>
      <c r="H29" s="31">
        <f>Spain!H$17</f>
        <v>46438.214667194698</v>
      </c>
      <c r="I29" s="31">
        <f>Spain!I$17</f>
        <v>64505.34767819968</v>
      </c>
      <c r="J29" s="31">
        <f>Spain!J$17</f>
        <v>70267.326906571296</v>
      </c>
      <c r="K29" s="31">
        <f>Spain!K$17</f>
        <v>79332.828419109937</v>
      </c>
      <c r="L29" s="31">
        <v>71976</v>
      </c>
      <c r="M29" s="31">
        <v>86574</v>
      </c>
      <c r="N29" s="31">
        <f>Spain!N$17</f>
        <v>79800.322397630269</v>
      </c>
      <c r="O29" s="31">
        <f>Spain!O$17</f>
        <v>70326.233841330162</v>
      </c>
      <c r="P29" s="31">
        <f>Spain!P$17</f>
        <v>95692</v>
      </c>
      <c r="Q29" s="31">
        <f>Spain!Q$17</f>
        <v>111561.88378731743</v>
      </c>
      <c r="R29" s="31">
        <f>Spain!R$17</f>
        <v>69068</v>
      </c>
      <c r="S29" s="31">
        <f>Spain!S$17</f>
        <v>125781</v>
      </c>
      <c r="T29" s="31">
        <f>Spain!T$17</f>
        <v>123036</v>
      </c>
      <c r="U29" s="31">
        <v>88142</v>
      </c>
      <c r="V29" s="31">
        <v>99593</v>
      </c>
      <c r="W29" s="31">
        <v>103947</v>
      </c>
      <c r="X29" s="32">
        <v>120890</v>
      </c>
      <c r="AB29" s="31"/>
      <c r="AC29" s="31"/>
    </row>
    <row r="30" spans="1:29">
      <c r="A30" s="9" t="s">
        <v>58</v>
      </c>
      <c r="B30" s="15">
        <f t="shared" si="5"/>
        <v>-0.45264803236484003</v>
      </c>
      <c r="C30" s="135">
        <v>-2269</v>
      </c>
      <c r="D30" s="1">
        <v>-3016</v>
      </c>
      <c r="E30" s="120">
        <f>Switzerland!E$28</f>
        <v>5953</v>
      </c>
      <c r="F30" s="31">
        <f>Switzerland!F$28</f>
        <v>10876</v>
      </c>
      <c r="G30" s="31">
        <f>Switzerland!G$28</f>
        <v>5981</v>
      </c>
      <c r="H30" s="31">
        <f>Switzerland!H$28</f>
        <v>8643</v>
      </c>
      <c r="I30" s="31">
        <f>Switzerland!I$28</f>
        <v>6931</v>
      </c>
      <c r="J30" s="31">
        <f>Switzerland!J$28</f>
        <v>10016</v>
      </c>
      <c r="K30" s="31">
        <f>Switzerland!K$28</f>
        <v>10887</v>
      </c>
      <c r="L30" s="31">
        <v>9874</v>
      </c>
      <c r="M30" s="31">
        <v>2128</v>
      </c>
      <c r="N30" s="31">
        <f>Switzerland!N$28</f>
        <v>6941</v>
      </c>
      <c r="O30" s="31">
        <f>Switzerland!O$28</f>
        <v>7422</v>
      </c>
      <c r="P30" s="31">
        <f>Switzerland!P$28</f>
        <v>9260</v>
      </c>
      <c r="Q30" s="31">
        <f>Switzerland!Q$28</f>
        <v>7596</v>
      </c>
      <c r="R30" s="31">
        <f>Switzerland!R$28</f>
        <v>5504</v>
      </c>
      <c r="S30" s="31">
        <f>Switzerland!S$28</f>
        <v>11125</v>
      </c>
      <c r="T30" s="31">
        <f>Switzerland!T$28</f>
        <v>4954</v>
      </c>
      <c r="U30" s="31">
        <v>11369</v>
      </c>
      <c r="V30" s="31">
        <v>3305</v>
      </c>
      <c r="W30" s="31">
        <v>11427</v>
      </c>
      <c r="X30" s="32">
        <v>6117</v>
      </c>
      <c r="AB30" s="31"/>
      <c r="AC30" s="31"/>
    </row>
    <row r="31" spans="1:29">
      <c r="A31" s="9" t="s">
        <v>0</v>
      </c>
      <c r="B31" s="15">
        <f t="shared" si="5"/>
        <v>0.14136029999497574</v>
      </c>
      <c r="C31" s="135">
        <v>-32868</v>
      </c>
      <c r="D31" s="1">
        <v>-32265</v>
      </c>
      <c r="E31" s="120">
        <f>Netherlands!E$15</f>
        <v>249886</v>
      </c>
      <c r="F31" s="31">
        <f>Netherlands!F$15</f>
        <v>218937</v>
      </c>
      <c r="G31" s="31">
        <f>Netherlands!G$15</f>
        <v>237808</v>
      </c>
      <c r="H31" s="31">
        <f>Netherlands!H$15</f>
        <v>233136</v>
      </c>
      <c r="I31" s="31">
        <f>Netherlands!I$15</f>
        <v>221094</v>
      </c>
      <c r="J31" s="31">
        <f>Netherlands!J$15</f>
        <v>257000</v>
      </c>
      <c r="K31" s="31">
        <f>Netherlands!K$15</f>
        <v>228000</v>
      </c>
      <c r="L31" s="31">
        <v>249916.53599999999</v>
      </c>
      <c r="M31" s="31">
        <v>206152</v>
      </c>
      <c r="N31" s="31">
        <f>Netherlands!N$15</f>
        <v>232567</v>
      </c>
      <c r="O31" s="31">
        <f>Netherlands!O$15</f>
        <v>224184</v>
      </c>
      <c r="P31" s="31">
        <f>Netherlands!P$15</f>
        <v>220066</v>
      </c>
      <c r="Q31" s="31">
        <f>Netherlands!Q$15</f>
        <v>221727</v>
      </c>
      <c r="R31" s="31">
        <f>Netherlands!R$15</f>
        <v>117000</v>
      </c>
      <c r="S31" s="31">
        <f>Netherlands!S$15</f>
        <v>187000</v>
      </c>
      <c r="T31" s="31">
        <f>Netherlands!T$15</f>
        <v>150000</v>
      </c>
      <c r="U31" s="31">
        <v>171000</v>
      </c>
      <c r="V31" s="31">
        <v>86000</v>
      </c>
      <c r="W31" s="31">
        <v>129000</v>
      </c>
      <c r="X31" s="32">
        <v>120000</v>
      </c>
      <c r="AB31" s="31"/>
      <c r="AC31" s="31"/>
    </row>
    <row r="32" spans="1:29" ht="13.8" thickBot="1">
      <c r="A32" s="18" t="s">
        <v>166</v>
      </c>
      <c r="B32" s="16">
        <f t="shared" si="5"/>
        <v>0.52799310938845823</v>
      </c>
      <c r="C32" s="145">
        <v>14192</v>
      </c>
      <c r="D32" s="7"/>
      <c r="E32" s="121">
        <f>UK!E$19</f>
        <v>14192</v>
      </c>
      <c r="F32" s="31">
        <f>UK!F$19</f>
        <v>9288</v>
      </c>
      <c r="G32" s="31">
        <f>UK!G$19</f>
        <v>0</v>
      </c>
      <c r="H32" s="31">
        <f>UK!H$19</f>
        <v>0</v>
      </c>
      <c r="I32" s="31">
        <f>UK!I$19</f>
        <v>0</v>
      </c>
      <c r="J32" s="31">
        <f>UK!J$19</f>
        <v>0</v>
      </c>
      <c r="K32" s="31">
        <f>UK!K$19</f>
        <v>0</v>
      </c>
      <c r="L32" s="31">
        <v>0</v>
      </c>
      <c r="M32" s="35">
        <v>10074</v>
      </c>
      <c r="N32" s="35">
        <f>UK!N$19</f>
        <v>0</v>
      </c>
      <c r="O32" s="35">
        <f>UK!O$19</f>
        <v>16700</v>
      </c>
      <c r="P32" s="35">
        <f>UK!P$19</f>
        <v>13500</v>
      </c>
      <c r="Q32" s="35">
        <f>UK!Q$19</f>
        <v>16600</v>
      </c>
      <c r="R32" s="35">
        <f>UK!R$19</f>
        <v>14000</v>
      </c>
      <c r="S32" s="35">
        <f>UK!S$19</f>
        <v>19500</v>
      </c>
      <c r="T32" s="35">
        <f>UK!T$19</f>
        <v>18000</v>
      </c>
      <c r="U32" s="35">
        <v>18900</v>
      </c>
      <c r="V32" s="35">
        <v>14100</v>
      </c>
      <c r="W32" s="35">
        <v>15000</v>
      </c>
      <c r="X32" s="36">
        <v>18000</v>
      </c>
      <c r="AB32" s="31"/>
      <c r="AC32" s="31"/>
    </row>
    <row r="33" spans="1:29" ht="13.8" thickBot="1">
      <c r="A33" s="19" t="s">
        <v>21</v>
      </c>
      <c r="B33" s="20">
        <f t="shared" si="5"/>
        <v>0.14224917328910858</v>
      </c>
      <c r="C33" s="146">
        <f>SUM(C20:C32)</f>
        <v>-198610.09681113969</v>
      </c>
      <c r="D33" s="21">
        <f>SUM(D20:D32)</f>
        <v>-199905.51572181069</v>
      </c>
      <c r="E33" s="137">
        <f>SUM(E20:E32)</f>
        <v>766481.82047812059</v>
      </c>
      <c r="F33" s="39">
        <f>SUM(F20:F32)</f>
        <v>671028.5622453416</v>
      </c>
      <c r="G33" s="39">
        <f t="shared" ref="G33:K33" si="6">SUM(G20:G32)</f>
        <v>661519.02733974624</v>
      </c>
      <c r="H33" s="39">
        <f t="shared" si="6"/>
        <v>746681.61917759408</v>
      </c>
      <c r="I33" s="39">
        <f t="shared" si="6"/>
        <v>655673.97415382531</v>
      </c>
      <c r="J33" s="39">
        <f t="shared" si="6"/>
        <v>899278.22719276848</v>
      </c>
      <c r="K33" s="39">
        <f t="shared" si="6"/>
        <v>681834.56282623275</v>
      </c>
      <c r="L33" s="39">
        <v>912620.93250729586</v>
      </c>
      <c r="M33" s="39">
        <v>815563</v>
      </c>
      <c r="N33" s="39">
        <f>SUM(N20:N32)</f>
        <v>835422.66620058485</v>
      </c>
      <c r="O33" s="39">
        <f>SUM(O20:O32)</f>
        <v>948631.42144917708</v>
      </c>
      <c r="P33" s="39">
        <f>SUM(P20:P32)</f>
        <v>922229.30568824639</v>
      </c>
      <c r="Q33" s="39">
        <f>SUM(Q20:Q32)</f>
        <v>1020494.6730449015</v>
      </c>
      <c r="R33" s="39">
        <f>SUM(R20:R32)</f>
        <v>644650</v>
      </c>
      <c r="S33" s="39">
        <f t="shared" ref="S33:X33" si="7">SUM(S20:S32)</f>
        <v>1030987</v>
      </c>
      <c r="T33" s="39">
        <f t="shared" si="7"/>
        <v>683955</v>
      </c>
      <c r="U33" s="39">
        <f t="shared" si="7"/>
        <v>797892</v>
      </c>
      <c r="V33" s="39">
        <f t="shared" si="7"/>
        <v>551212</v>
      </c>
      <c r="W33" s="39">
        <f t="shared" si="7"/>
        <v>685129</v>
      </c>
      <c r="X33" s="40">
        <f t="shared" si="7"/>
        <v>760987</v>
      </c>
      <c r="Z33" s="45"/>
      <c r="AB33" s="31"/>
      <c r="AC33" s="31"/>
    </row>
    <row r="34" spans="1:29" s="31" customFormat="1">
      <c r="A34"/>
      <c r="B34" s="3" t="s">
        <v>173</v>
      </c>
      <c r="C34"/>
      <c r="D34"/>
      <c r="E34"/>
    </row>
    <row r="35" spans="1:29">
      <c r="B35" s="26" t="s">
        <v>174</v>
      </c>
      <c r="W35" s="31"/>
      <c r="X35" s="31"/>
      <c r="AB35" s="31"/>
      <c r="AC35" s="31"/>
    </row>
    <row r="36" spans="1:29">
      <c r="B36" s="26" t="s">
        <v>164</v>
      </c>
      <c r="W36" s="31"/>
      <c r="X36" s="31"/>
      <c r="AB36" s="31"/>
      <c r="AC36" s="31"/>
    </row>
    <row r="37" spans="1:29">
      <c r="F37" s="45"/>
      <c r="G37" s="45"/>
      <c r="H37" s="45"/>
      <c r="I37" s="45"/>
      <c r="J37" s="45"/>
      <c r="K37" s="45"/>
      <c r="Z37" s="194"/>
    </row>
    <row r="38" spans="1:29" ht="14.25" hidden="1" customHeight="1">
      <c r="A38" s="147"/>
      <c r="E38" s="1"/>
      <c r="F38" s="112"/>
      <c r="G38" s="112"/>
      <c r="H38" s="112"/>
      <c r="I38" s="112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54"/>
      <c r="Z38" s="53"/>
    </row>
    <row r="39" spans="1:29" hidden="1">
      <c r="A39" s="148"/>
      <c r="B39" s="148"/>
      <c r="C39" s="149"/>
      <c r="D39" s="150"/>
      <c r="E39" s="150"/>
      <c r="W39" s="31"/>
      <c r="X39" s="31"/>
    </row>
    <row r="40" spans="1:29" ht="15" customHeight="1">
      <c r="C40" s="97"/>
      <c r="D40" s="97"/>
      <c r="E40" s="97"/>
      <c r="F40" s="56"/>
      <c r="G40" s="55"/>
      <c r="H40" s="55"/>
      <c r="I40" s="56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6"/>
      <c r="Y40" s="57"/>
      <c r="Z40" s="55"/>
    </row>
    <row r="41" spans="1:29">
      <c r="A41" s="151"/>
      <c r="B41" s="151"/>
      <c r="C41" s="152"/>
      <c r="D41" s="193"/>
      <c r="E41" s="151"/>
      <c r="F41" s="31"/>
      <c r="I41" s="56"/>
      <c r="W41" s="58"/>
      <c r="X41" s="58"/>
      <c r="Y41" s="31"/>
    </row>
    <row r="42" spans="1:29">
      <c r="C42" s="97"/>
      <c r="I42" s="56"/>
      <c r="W42" s="58"/>
      <c r="X42" s="58"/>
      <c r="Y42" s="31"/>
    </row>
    <row r="43" spans="1:29">
      <c r="C43" s="97"/>
      <c r="I43" s="56"/>
      <c r="W43" s="58"/>
      <c r="X43" s="58"/>
      <c r="Y43" s="31"/>
    </row>
    <row r="44" spans="1:29">
      <c r="C44" s="97"/>
      <c r="I44" s="56"/>
      <c r="W44" s="58"/>
      <c r="X44" s="58"/>
      <c r="Y44" s="31"/>
    </row>
    <row r="45" spans="1:29">
      <c r="C45" s="97"/>
      <c r="I45" s="56"/>
      <c r="W45" s="58"/>
      <c r="X45" s="58"/>
      <c r="Y45" s="31"/>
    </row>
    <row r="46" spans="1:29">
      <c r="C46" s="97"/>
      <c r="I46" s="56"/>
      <c r="W46" s="58"/>
      <c r="X46" s="58"/>
      <c r="Y46" s="31"/>
    </row>
    <row r="47" spans="1:29">
      <c r="B47" s="97"/>
      <c r="I47" s="56"/>
      <c r="W47" s="58"/>
      <c r="X47" s="58"/>
      <c r="Y47" s="31"/>
    </row>
    <row r="48" spans="1:29">
      <c r="C48" s="153"/>
      <c r="F48" s="59"/>
      <c r="G48" s="59"/>
      <c r="H48" s="59"/>
      <c r="I48" s="56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8"/>
      <c r="X48" s="58"/>
      <c r="Y48" s="31"/>
      <c r="Z48" s="59"/>
    </row>
    <row r="49" spans="1:26">
      <c r="A49" s="154"/>
      <c r="B49" s="154"/>
      <c r="D49" s="154"/>
      <c r="E49" s="154"/>
      <c r="F49" s="59"/>
      <c r="G49" s="59"/>
      <c r="H49" s="59"/>
      <c r="I49" s="56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8"/>
      <c r="X49" s="58"/>
      <c r="Y49" s="31"/>
      <c r="Z49" s="59"/>
    </row>
    <row r="50" spans="1:26">
      <c r="A50" s="154"/>
      <c r="B50" s="154"/>
      <c r="C50" s="154"/>
      <c r="D50" s="154"/>
      <c r="E50" s="154"/>
      <c r="F50" s="59"/>
      <c r="G50" s="59"/>
      <c r="H50" s="59"/>
      <c r="I50" s="56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8"/>
      <c r="X50" s="58"/>
      <c r="Y50" s="31"/>
      <c r="Z50" s="59"/>
    </row>
    <row r="51" spans="1:26">
      <c r="A51" s="154"/>
      <c r="B51" s="154"/>
      <c r="D51" s="154"/>
      <c r="E51" s="154"/>
      <c r="F51" s="59"/>
      <c r="G51" s="59"/>
      <c r="H51" s="59"/>
      <c r="I51" s="56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8"/>
      <c r="X51" s="58"/>
      <c r="Y51" s="31"/>
      <c r="Z51" s="59"/>
    </row>
    <row r="52" spans="1:26">
      <c r="A52" s="154"/>
      <c r="B52" s="154"/>
      <c r="C52" s="1"/>
      <c r="D52" s="154"/>
      <c r="E52" s="154"/>
      <c r="F52" s="59"/>
      <c r="G52" s="59"/>
      <c r="H52" s="59"/>
      <c r="I52" s="56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8"/>
      <c r="X52" s="58"/>
      <c r="Y52" s="31"/>
      <c r="Z52" s="59"/>
    </row>
    <row r="53" spans="1:26">
      <c r="A53" s="154"/>
      <c r="B53" s="154"/>
      <c r="C53" s="41"/>
      <c r="D53" s="154"/>
      <c r="E53" s="154"/>
      <c r="F53" s="59"/>
      <c r="G53" s="59"/>
      <c r="H53" s="59"/>
      <c r="I53" s="56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8"/>
      <c r="X53" s="58"/>
      <c r="Y53" s="31"/>
      <c r="Z53" s="59"/>
    </row>
    <row r="54" spans="1:26">
      <c r="A54" s="154"/>
      <c r="B54" s="154"/>
      <c r="C54" s="154"/>
      <c r="D54" s="154"/>
      <c r="E54" s="154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8"/>
      <c r="X54" s="58"/>
      <c r="Y54" s="31"/>
      <c r="Z54" s="59"/>
    </row>
    <row r="55" spans="1:26">
      <c r="A55" s="154"/>
      <c r="B55" s="154"/>
      <c r="C55" s="154"/>
      <c r="D55" s="154"/>
      <c r="E55" s="154"/>
      <c r="W55" s="58"/>
      <c r="X55" s="58"/>
      <c r="Y55" s="31"/>
    </row>
    <row r="56" spans="1:26"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8"/>
      <c r="X56" s="58"/>
      <c r="Y56" s="60"/>
      <c r="Z56" s="59"/>
    </row>
    <row r="57" spans="1:26">
      <c r="A57" s="154"/>
      <c r="B57" s="154"/>
      <c r="C57" s="154"/>
      <c r="D57" s="154"/>
      <c r="E57" s="154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8"/>
      <c r="X57" s="58"/>
      <c r="Z57" s="59"/>
    </row>
    <row r="58" spans="1:26">
      <c r="A58" s="154"/>
      <c r="B58" s="154"/>
      <c r="C58" s="154"/>
      <c r="D58" s="154"/>
      <c r="E58" s="154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8"/>
      <c r="X58" s="58"/>
      <c r="Y58" s="31"/>
      <c r="Z58" s="59"/>
    </row>
    <row r="59" spans="1:26">
      <c r="A59" s="154"/>
      <c r="B59" s="154"/>
      <c r="C59" s="154"/>
      <c r="D59" s="154"/>
      <c r="E59" s="154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8"/>
      <c r="X59" s="58"/>
      <c r="Y59" s="31"/>
      <c r="Z59" s="59"/>
    </row>
    <row r="60" spans="1:26">
      <c r="A60" s="154"/>
      <c r="B60" s="154"/>
      <c r="C60" s="154"/>
      <c r="D60" s="154"/>
      <c r="E60" s="154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8"/>
      <c r="X60" s="58"/>
      <c r="Y60" s="31"/>
      <c r="Z60" s="59"/>
    </row>
    <row r="61" spans="1:26">
      <c r="A61" s="154"/>
      <c r="B61" s="154"/>
      <c r="C61" s="154"/>
      <c r="D61" s="154"/>
      <c r="E61" s="154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8"/>
      <c r="X61" s="58"/>
      <c r="Y61" s="31"/>
      <c r="Z61" s="59"/>
    </row>
    <row r="62" spans="1:26">
      <c r="A62" s="154"/>
      <c r="B62" s="154"/>
      <c r="C62" s="154"/>
      <c r="D62" s="154"/>
      <c r="E62" s="154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8"/>
      <c r="X62" s="58"/>
      <c r="Y62" s="31"/>
      <c r="Z62" s="59"/>
    </row>
    <row r="63" spans="1:26">
      <c r="A63" s="154"/>
      <c r="B63" s="154"/>
      <c r="C63" s="154"/>
      <c r="D63" s="154"/>
      <c r="E63" s="154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8"/>
      <c r="X63" s="58"/>
      <c r="Y63" s="60"/>
      <c r="Z63" s="59"/>
    </row>
    <row r="64" spans="1:26" ht="26.25" customHeight="1">
      <c r="A64" s="154"/>
      <c r="B64" s="154"/>
      <c r="C64" s="154"/>
      <c r="D64" s="154"/>
      <c r="E64" s="154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61"/>
      <c r="X64" s="61"/>
      <c r="Z64" s="53"/>
    </row>
    <row r="65" spans="1:26">
      <c r="A65" s="148"/>
      <c r="B65" s="148"/>
      <c r="C65" s="148"/>
      <c r="D65" s="148"/>
      <c r="E65" s="148"/>
      <c r="W65" s="31"/>
      <c r="X65" s="31"/>
    </row>
    <row r="66" spans="1:26">
      <c r="W66" s="31"/>
      <c r="X66" s="31"/>
    </row>
    <row r="67" spans="1:26">
      <c r="W67" s="31"/>
      <c r="X67" s="31"/>
    </row>
    <row r="68" spans="1:26">
      <c r="W68" s="62"/>
      <c r="X68" s="62"/>
    </row>
    <row r="69" spans="1:26">
      <c r="W69" s="62"/>
      <c r="X69" s="62"/>
    </row>
    <row r="70" spans="1:26">
      <c r="W70" s="31"/>
      <c r="X70" s="62"/>
    </row>
    <row r="71" spans="1:26">
      <c r="W71" s="31"/>
      <c r="X71" s="31"/>
    </row>
    <row r="72" spans="1:26">
      <c r="W72" s="31"/>
      <c r="X72" s="31"/>
    </row>
    <row r="73" spans="1:26">
      <c r="W73" s="31"/>
      <c r="X73" s="31"/>
    </row>
    <row r="74" spans="1:26">
      <c r="W74" s="31"/>
      <c r="X74" s="31"/>
    </row>
    <row r="75" spans="1:26"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60"/>
      <c r="X75" s="60"/>
      <c r="Z75" s="45"/>
    </row>
    <row r="76" spans="1:26">
      <c r="A76" s="76"/>
      <c r="B76" s="76"/>
      <c r="C76" s="76"/>
      <c r="D76" s="76"/>
      <c r="E76" s="76"/>
    </row>
    <row r="80" spans="1:26"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Z80" s="45"/>
    </row>
    <row r="81" spans="1:5">
      <c r="A81" s="76"/>
      <c r="B81" s="76"/>
      <c r="C81" s="76"/>
      <c r="D81" s="76"/>
      <c r="E81" s="76"/>
    </row>
  </sheetData>
  <conditionalFormatting sqref="E1">
    <cfRule type="expression" dxfId="28" priority="2">
      <formula>ISBLANK(XFD1)=FALSE</formula>
    </cfRule>
  </conditionalFormatting>
  <conditionalFormatting sqref="E19">
    <cfRule type="expression" dxfId="27" priority="1">
      <formula>ISBLANK(XFD19)=FALSE</formula>
    </cfRule>
  </conditionalFormatting>
  <pageMargins left="0.75" right="0.75" top="1" bottom="1" header="0.5" footer="0.5"/>
  <pageSetup paperSize="9" scale="5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C47"/>
  <sheetViews>
    <sheetView zoomScaleNormal="100" workbookViewId="0"/>
  </sheetViews>
  <sheetFormatPr defaultColWidth="9.109375" defaultRowHeight="13.2"/>
  <cols>
    <col min="1" max="1" width="19.6640625" customWidth="1"/>
    <col min="2" max="2" width="12" bestFit="1" customWidth="1"/>
    <col min="3" max="4" width="11.33203125" hidden="1" customWidth="1"/>
    <col min="5" max="5" width="11.33203125" customWidth="1"/>
    <col min="6" max="13" width="11.44140625" style="26" customWidth="1"/>
    <col min="14" max="14" width="10.44140625" style="26" customWidth="1"/>
    <col min="15" max="21" width="10.6640625" style="26" customWidth="1"/>
    <col min="22" max="16384" width="9.109375" style="26"/>
  </cols>
  <sheetData>
    <row r="1" spans="1:22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44">
        <v>40148</v>
      </c>
    </row>
    <row r="2" spans="1:22">
      <c r="A2" s="80" t="s">
        <v>142</v>
      </c>
      <c r="B2" s="81">
        <f t="shared" ref="B2:B32" si="0">IFERROR(((E2-F2)/F2),"")</f>
        <v>0</v>
      </c>
      <c r="C2" s="155">
        <v>-7000</v>
      </c>
      <c r="D2" s="88">
        <v>-10000</v>
      </c>
      <c r="E2" s="126">
        <f>Italy!E$2</f>
        <v>30000</v>
      </c>
      <c r="F2" s="88">
        <f>Italy!F$2</f>
        <v>30000</v>
      </c>
      <c r="G2" s="88">
        <f>Italy!G$2</f>
        <v>20000</v>
      </c>
      <c r="H2" s="88">
        <f>Italy!H$2</f>
        <v>25000</v>
      </c>
      <c r="I2" s="88">
        <f>Italy!I$2</f>
        <v>25000</v>
      </c>
      <c r="J2" s="88">
        <f>Italy!J$2</f>
        <v>25000</v>
      </c>
      <c r="K2" s="88">
        <f>Italy!K$2</f>
        <v>25000</v>
      </c>
      <c r="L2" s="47">
        <v>25000</v>
      </c>
      <c r="M2" s="47">
        <v>18000</v>
      </c>
      <c r="N2" s="47">
        <f>Italy!N$2</f>
        <v>20000</v>
      </c>
      <c r="O2" s="47">
        <f>Italy!O$2</f>
        <v>20000</v>
      </c>
      <c r="P2" s="47">
        <f>Italy!P$2</f>
        <v>27000</v>
      </c>
      <c r="Q2" s="47">
        <f>Italy!Q$2</f>
        <v>0</v>
      </c>
      <c r="R2" s="47">
        <f>Italy!R$2</f>
        <v>33521.627330017844</v>
      </c>
      <c r="S2" s="47">
        <f>Italy!S$2</f>
        <v>20048.692952691636</v>
      </c>
      <c r="T2" s="47">
        <f>Italy!T$2</f>
        <v>20000</v>
      </c>
      <c r="U2" s="48">
        <f>Italy!U$2</f>
        <v>20000</v>
      </c>
      <c r="V2" s="31"/>
    </row>
    <row r="3" spans="1:22">
      <c r="A3" s="80" t="s">
        <v>3</v>
      </c>
      <c r="B3" s="81">
        <f t="shared" si="0"/>
        <v>0.63185176554109801</v>
      </c>
      <c r="C3" s="155">
        <v>-6014.2001902615739</v>
      </c>
      <c r="D3" s="88">
        <v>-2865.7210853134311</v>
      </c>
      <c r="E3" s="126">
        <f>Austria!E$3+Belgium!E$2+Denmark!E$2+France!E$4+Germany!E$2+Switzerland!E$2+Netherlands!E$2+Poland!E$2</f>
        <v>30515.080266629506</v>
      </c>
      <c r="F3" s="31">
        <f>Austria!F$3+Belgium!F$2+Denmark!F$2+France!F$4+Germany!F$2+Switzerland!F$2+Netherlands!F$2+Poland!F$2</f>
        <v>18699.66433900395</v>
      </c>
      <c r="G3" s="31">
        <f>Austria!G$3+Belgium!G$2+Denmark!G$2+France!G$4+Germany!G$2+Switzerland!G$2+Netherlands!G$2+Poland!G$2</f>
        <v>19542.636082420282</v>
      </c>
      <c r="H3" s="31">
        <f>Austria!H$3+Belgium!H$2+Denmark!H$2+France!H$4+Germany!H$2+Switzerland!H$2+Netherlands!H$2+Poland!H$2</f>
        <v>25050.333333333336</v>
      </c>
      <c r="I3" s="31">
        <f>Austria!I$3+Belgium!I$2+Denmark!I$2+France!I$4+Germany!I$2+Switzerland!I$2+Netherlands!I$2+Poland!I$2</f>
        <v>28899.722222222223</v>
      </c>
      <c r="J3" s="31">
        <f>Austria!J$3+Belgium!J$2+Denmark!J$2+France!J$4+Germany!J$2+Switzerland!J$2+Netherlands!J$2+Poland!J$2</f>
        <v>18028.599999999999</v>
      </c>
      <c r="K3" s="31">
        <f>Austria!K$3+Belgium!K$2+Denmark!K$2+France!K$4+Germany!K$2+Switzerland!K$2+Netherlands!K$2+Poland!K$2</f>
        <v>20335</v>
      </c>
      <c r="L3" s="31">
        <v>30758.190999999999</v>
      </c>
      <c r="M3" s="31">
        <v>8976</v>
      </c>
      <c r="N3" s="31">
        <f>Austria!N$3+Belgium!N$2+Denmark!N$2+France!N$4+Germany!N$2+Switzerland!N$2+Netherlands!N$2+Poland!N$2</f>
        <v>30416.36</v>
      </c>
      <c r="O3" s="31">
        <f>Austria!O$3+Belgium!O$2+Denmark!O$2+France!O$4+Germany!O$2+Switzerland!O$2+Netherlands!O$2+Poland!O$2</f>
        <v>29835.08</v>
      </c>
      <c r="P3" s="31">
        <f>Austria!P$3+Belgium!P$2+Denmark!P$2+France!P$4+Germany!P$2+Switzerland!P$2+Netherlands!P$2+Poland!P$2</f>
        <v>33676</v>
      </c>
      <c r="Q3" s="31">
        <f>Austria!Q$3+Belgium!Q$2+Denmark!Q$2+France!Q$4+Germany!Q$2+Switzerland!Q$2+Netherlands!Q$2+Poland!Q$2</f>
        <v>24966</v>
      </c>
      <c r="R3" s="31">
        <f>Austria!R$3+Belgium!R$2+Denmark!R$2+France!R$4+Germany!R$2+Switzerland!R$2+Netherlands!R$2+Poland!R$2</f>
        <v>22051</v>
      </c>
      <c r="S3" s="31">
        <f>Austria!S$3+Belgium!S$2+Denmark!S$2+France!S$4+Germany!S$2+Switzerland!S$2+Netherlands!S$2+Poland!S$2</f>
        <v>27266</v>
      </c>
      <c r="T3" s="31">
        <f>Austria!T$3+Belgium!T$2+Denmark!T$2+France!T$4+Germany!T$2+Switzerland!T$2+Netherlands!T$2+Poland!T$2</f>
        <v>23558</v>
      </c>
      <c r="U3" s="32">
        <f>Austria!U$3+Belgium!U$2+Denmark!U$2+France!U$4+Germany!U$2+Switzerland!U$2+Netherlands!U$2+Poland!U$2</f>
        <v>36854</v>
      </c>
    </row>
    <row r="4" spans="1:22">
      <c r="A4" s="80" t="s">
        <v>10</v>
      </c>
      <c r="B4" s="81">
        <f t="shared" si="0"/>
        <v>0.14073603195333681</v>
      </c>
      <c r="C4" s="155">
        <v>21212.012566444217</v>
      </c>
      <c r="D4" s="88">
        <v>18668.622397076295</v>
      </c>
      <c r="E4" s="126">
        <f>Austria!E$4+France!E$5+Germany!E$3+Italy!E$3+Switzerland!E$3+UK!E$2+'Czech Republic'!E$2</f>
        <v>136533.99367755532</v>
      </c>
      <c r="F4" s="31">
        <f>Austria!F$4+France!F$5+Germany!F$3+Italy!F$3+Switzerland!F$3+UK!F$2+'Czech Republic'!F$2</f>
        <v>119689.38461929851</v>
      </c>
      <c r="G4" s="31">
        <f>Austria!G$4+France!G$5+Germany!G$3+Italy!G$3+Switzerland!G$3+UK!G$2+'Czech Republic'!G$2</f>
        <v>104764.57570946861</v>
      </c>
      <c r="H4" s="31">
        <f>Austria!H$4+France!H$5+Germany!H$3+Italy!H$3+Switzerland!H$3+UK!H$2+'Czech Republic'!H$2</f>
        <v>121417.96443101343</v>
      </c>
      <c r="I4" s="31">
        <f>Austria!I$4+France!I$5+Germany!I$3+Italy!I$3+Switzerland!I$3+UK!I$2+'Czech Republic'!I$2</f>
        <v>118689.32234065933</v>
      </c>
      <c r="J4" s="31">
        <f>Austria!J$4+France!J$5+Germany!J$3+Italy!J$3+Switzerland!J$3+UK!J$2+'Czech Republic'!J$2</f>
        <v>124035.49599999998</v>
      </c>
      <c r="K4" s="31">
        <f>Austria!K$4+France!K$5+Germany!K$3+Italy!K$3+Switzerland!K$3+UK!K$2+'Czech Republic'!K$2</f>
        <v>144483</v>
      </c>
      <c r="L4" s="31">
        <v>156153</v>
      </c>
      <c r="M4" s="31">
        <v>117993</v>
      </c>
      <c r="N4" s="31">
        <f>Austria!N$4+France!N$5+Germany!N$3+Italy!N$3+Switzerland!N$3+UK!N$2+'Czech Republic'!N2</f>
        <v>152804.22</v>
      </c>
      <c r="O4" s="31">
        <f>Austria!O$4+France!O$5+Germany!O$3+Italy!O$3+Switzerland!O$3+UK!O$2+'Czech Republic'!O2</f>
        <v>194811.04</v>
      </c>
      <c r="P4" s="31">
        <f>Austria!P$4+France!P$5+Germany!P$3+Italy!P$3+Switzerland!P$3+UK!P$2+'Czech Republic'!P2</f>
        <v>193718.16</v>
      </c>
      <c r="Q4" s="31">
        <f>Austria!Q$4+France!Q$5+Germany!Q$3+Italy!Q$3+Switzerland!Q$3+UK!Q$2+'Czech Republic'!Q2</f>
        <v>186588</v>
      </c>
      <c r="R4" s="31">
        <f>Austria!R$4+France!R$5+Germany!R$3+Italy!R$3+Switzerland!R$3+UK!R$2+'Czech Republic'!R2</f>
        <v>152197.344651172</v>
      </c>
      <c r="S4" s="31">
        <f>Austria!S$4+France!S$5+Germany!S$3+Italy!S$3+Switzerland!S$3+UK!S$2+'Czech Republic'!S2</f>
        <v>189391.6600789623</v>
      </c>
      <c r="T4" s="31">
        <f>Austria!T$4+France!T$5+Germany!T$3+Italy!T$3+Switzerland!T$3+UK!T$2+'Czech Republic'!T2</f>
        <v>183593</v>
      </c>
      <c r="U4" s="32">
        <f>Austria!U$4+France!U$5+Germany!U$3+Italy!U$3+Switzerland!U$3+UK!U$2+'Czech Republic'!U2</f>
        <v>201977</v>
      </c>
    </row>
    <row r="5" spans="1:22">
      <c r="A5" s="80" t="s">
        <v>34</v>
      </c>
      <c r="B5" s="81">
        <f t="shared" si="0"/>
        <v>-0.14869608826479438</v>
      </c>
      <c r="C5" s="155">
        <v>6790</v>
      </c>
      <c r="D5" s="88">
        <v>7976</v>
      </c>
      <c r="E5" s="126">
        <f>UK!E$3</f>
        <v>6790</v>
      </c>
      <c r="F5" s="31">
        <f>UK!F$3</f>
        <v>7976</v>
      </c>
      <c r="G5" s="31">
        <f>UK!G$3</f>
        <v>0</v>
      </c>
      <c r="H5" s="31">
        <f>UK!H$3</f>
        <v>0</v>
      </c>
      <c r="I5" s="31">
        <f>UK!I$3</f>
        <v>0</v>
      </c>
      <c r="J5" s="31">
        <f>UK!J$3</f>
        <v>0</v>
      </c>
      <c r="K5" s="31">
        <f>UK!K$3</f>
        <v>0</v>
      </c>
      <c r="L5" s="31">
        <v>0</v>
      </c>
      <c r="M5" s="31">
        <v>49500</v>
      </c>
      <c r="N5" s="31">
        <f>UK!N$3</f>
        <v>0</v>
      </c>
      <c r="O5" s="31">
        <f>UK!O$3</f>
        <v>42000</v>
      </c>
      <c r="P5" s="31">
        <f>UK!P$3</f>
        <v>62000</v>
      </c>
      <c r="Q5" s="31">
        <f>UK!Q$3</f>
        <v>55000</v>
      </c>
      <c r="R5" s="31">
        <f>UK!R$3</f>
        <v>31000</v>
      </c>
      <c r="S5" s="31">
        <f>UK!S$3</f>
        <v>62000</v>
      </c>
      <c r="T5" s="31">
        <f>UK!T$3</f>
        <v>71000</v>
      </c>
      <c r="U5" s="32">
        <f>UK!U$3</f>
        <v>62000</v>
      </c>
    </row>
    <row r="6" spans="1:22">
      <c r="A6" s="80" t="s">
        <v>27</v>
      </c>
      <c r="B6" s="81">
        <f t="shared" si="0"/>
        <v>0.31922589980104904</v>
      </c>
      <c r="C6" s="155">
        <v>7294</v>
      </c>
      <c r="D6" s="88">
        <v>5529</v>
      </c>
      <c r="E6" s="126">
        <f>France!E6+UK!E4</f>
        <v>7294</v>
      </c>
      <c r="F6" s="31">
        <f>France!F6+UK!F4</f>
        <v>5529</v>
      </c>
      <c r="G6" s="31">
        <f>France!G6+UK!G4</f>
        <v>0</v>
      </c>
      <c r="H6" s="31">
        <f>France!H6+UK!H4</f>
        <v>0</v>
      </c>
      <c r="I6" s="31">
        <f>France!I6+UK!I4</f>
        <v>0</v>
      </c>
      <c r="J6" s="31">
        <f>France!J6+UK!J4</f>
        <v>0</v>
      </c>
      <c r="K6" s="31">
        <f>France!K6+UK!K4</f>
        <v>0</v>
      </c>
      <c r="L6" s="31">
        <v>0</v>
      </c>
      <c r="M6" s="31">
        <v>0</v>
      </c>
      <c r="N6" s="31">
        <f>France!N6+UK!N4</f>
        <v>0</v>
      </c>
      <c r="O6" s="31">
        <f>France!O6+UK!O4</f>
        <v>1800</v>
      </c>
      <c r="P6" s="31">
        <f>France!P6+UK!P4</f>
        <v>0</v>
      </c>
      <c r="Q6" s="31">
        <f>France!Q6+UK!Q4</f>
        <v>1900</v>
      </c>
      <c r="R6" s="31">
        <f>France!R6+UK!R4</f>
        <v>1800</v>
      </c>
      <c r="S6" s="31">
        <f>France!S6+UK!S4</f>
        <v>1953</v>
      </c>
      <c r="T6" s="31">
        <f>France!T6+UK!T4</f>
        <v>2493</v>
      </c>
      <c r="U6" s="32">
        <f>France!U6+UK!U4</f>
        <v>5759</v>
      </c>
    </row>
    <row r="7" spans="1:22">
      <c r="A7" s="80" t="s">
        <v>31</v>
      </c>
      <c r="B7" s="81" t="str">
        <f t="shared" si="0"/>
        <v/>
      </c>
      <c r="C7" s="155">
        <v>0</v>
      </c>
      <c r="D7" s="88">
        <v>0</v>
      </c>
      <c r="E7" s="126">
        <f>Poland!E$3</f>
        <v>0</v>
      </c>
      <c r="F7" s="31">
        <f>Poland!F$3</f>
        <v>0</v>
      </c>
      <c r="G7" s="31">
        <f>Poland!G$3</f>
        <v>0</v>
      </c>
      <c r="H7" s="31">
        <f>Poland!H$3</f>
        <v>0</v>
      </c>
      <c r="I7" s="31">
        <f>Poland!I$3</f>
        <v>0</v>
      </c>
      <c r="J7" s="31">
        <f>Poland!J$3</f>
        <v>0</v>
      </c>
      <c r="K7" s="31">
        <f>Poland!K$3</f>
        <v>0</v>
      </c>
      <c r="L7" s="31">
        <v>0</v>
      </c>
      <c r="M7" s="31">
        <v>0</v>
      </c>
      <c r="N7" s="31">
        <f>Poland!N$3</f>
        <v>0</v>
      </c>
      <c r="O7" s="31">
        <f>Poland!O$3</f>
        <v>0</v>
      </c>
      <c r="P7" s="31">
        <f>Poland!P$3</f>
        <v>2000</v>
      </c>
      <c r="Q7" s="31">
        <f>Poland!Q$3</f>
        <v>3000</v>
      </c>
      <c r="R7" s="31">
        <f>Poland!R$3</f>
        <v>7000</v>
      </c>
      <c r="S7" s="31">
        <f>Poland!S$3</f>
        <v>6000</v>
      </c>
      <c r="T7" s="31">
        <f>Poland!T$3</f>
        <v>15000</v>
      </c>
      <c r="U7" s="32">
        <f>Poland!U$3</f>
        <v>30000</v>
      </c>
    </row>
    <row r="8" spans="1:22">
      <c r="A8" s="80" t="s">
        <v>4</v>
      </c>
      <c r="B8" s="81">
        <f t="shared" si="0"/>
        <v>0.83070088845014811</v>
      </c>
      <c r="C8" s="155">
        <v>3034</v>
      </c>
      <c r="D8" s="88">
        <v>1433</v>
      </c>
      <c r="E8" s="126">
        <f>Belgium!E$3+Denmark!E$4+Germany!E$4+Switzerland!E$4+UK!E$5</f>
        <v>3709</v>
      </c>
      <c r="F8" s="31">
        <f>Belgium!F$3+Denmark!F$4+Germany!F$4+Switzerland!F$4+UK!F$5</f>
        <v>2026</v>
      </c>
      <c r="G8" s="31">
        <f>Belgium!G$3+Denmark!G$4+Germany!G$4+Switzerland!G$4+UK!G$5</f>
        <v>157</v>
      </c>
      <c r="H8" s="31">
        <f>Belgium!H$3+Denmark!H$4+Germany!H$4+Switzerland!H$4+UK!H$5</f>
        <v>446</v>
      </c>
      <c r="I8" s="31">
        <f>Belgium!I$3+Denmark!I$4+Germany!I$4+Switzerland!I$4+UK!I$5</f>
        <v>260</v>
      </c>
      <c r="J8" s="31">
        <f>Belgium!J$3+Denmark!J$4+Germany!J$4+Switzerland!J$4+UK!J$5</f>
        <v>123</v>
      </c>
      <c r="K8" s="31">
        <f>Belgium!K$3+Denmark!K$4+Germany!K$4+Switzerland!K$4+UK!K$5</f>
        <v>534</v>
      </c>
      <c r="L8" s="31">
        <v>1232</v>
      </c>
      <c r="M8" s="31">
        <v>11059</v>
      </c>
      <c r="N8" s="31">
        <f>Belgium!N$3+Denmark!N$4+Germany!N$4+Switzerland!N$4+UK!N$5</f>
        <v>1004</v>
      </c>
      <c r="O8" s="31">
        <f>Belgium!O$3+Denmark!O$4+Germany!O$4+Switzerland!O$4+UK!O$5</f>
        <v>21396</v>
      </c>
      <c r="P8" s="31">
        <f>Belgium!P$3+Denmark!P$4+Germany!P$4+Switzerland!P$4+UK!P$5</f>
        <v>15046</v>
      </c>
      <c r="Q8" s="31">
        <f>Belgium!Q$3+Denmark!Q$4+Germany!Q$4+Switzerland!Q$4+UK!Q$5</f>
        <v>25886</v>
      </c>
      <c r="R8" s="31">
        <f>Belgium!R$3+Denmark!R$4+Germany!R$4+Switzerland!R$4+UK!R$5</f>
        <v>16371</v>
      </c>
      <c r="S8" s="31">
        <f>Belgium!S$3+Denmark!S$4+Germany!S$4+Switzerland!S$4+UK!S$5</f>
        <v>28714</v>
      </c>
      <c r="T8" s="31">
        <f>Belgium!T$3+Denmark!T$4+Germany!T$4+Switzerland!T$4+UK!T$5</f>
        <v>25496</v>
      </c>
      <c r="U8" s="32">
        <f>Belgium!U$3+Denmark!U$4+Germany!U$4+Switzerland!U$4+UK!U$5</f>
        <v>28158</v>
      </c>
    </row>
    <row r="9" spans="1:22">
      <c r="A9" s="80" t="s">
        <v>59</v>
      </c>
      <c r="B9" s="81">
        <f t="shared" si="0"/>
        <v>0.17002261230190713</v>
      </c>
      <c r="C9" s="155">
        <v>81363.48000000001</v>
      </c>
      <c r="D9" s="88">
        <v>56507.868000000017</v>
      </c>
      <c r="E9" s="126">
        <f>France!E$8+Italy!E$4</f>
        <v>323981</v>
      </c>
      <c r="F9" s="31">
        <f>France!F$8+Italy!F$4</f>
        <v>276901.48600000003</v>
      </c>
      <c r="G9" s="31">
        <f>France!G$8+Italy!G$4</f>
        <v>263224.97100000002</v>
      </c>
      <c r="H9" s="31">
        <f>France!H$8+Italy!H$4</f>
        <v>245393.682</v>
      </c>
      <c r="I9" s="31">
        <f>France!I$8+Italy!I$4</f>
        <v>190031.28</v>
      </c>
      <c r="J9" s="31">
        <f>France!J$8+Italy!J$4</f>
        <v>211187.51</v>
      </c>
      <c r="K9" s="31">
        <f>France!K$8+Italy!K$4</f>
        <v>209779</v>
      </c>
      <c r="L9" s="31">
        <v>202161</v>
      </c>
      <c r="M9" s="31">
        <v>178490</v>
      </c>
      <c r="N9" s="31">
        <f>France!N$8+Italy!N$4</f>
        <v>167532.79999999999</v>
      </c>
      <c r="O9" s="31">
        <f>France!O$8+Italy!O$4</f>
        <v>161967.6</v>
      </c>
      <c r="P9" s="31">
        <f>France!P$8+Italy!P$4</f>
        <v>168499</v>
      </c>
      <c r="Q9" s="31">
        <f>France!Q$8+Italy!Q$4</f>
        <v>130888</v>
      </c>
      <c r="R9" s="31">
        <f>France!R$8+Italy!R$4</f>
        <v>108683.90059718442</v>
      </c>
      <c r="S9" s="31">
        <f>France!S$8+Italy!S$4</f>
        <v>135510.80257874046</v>
      </c>
      <c r="T9" s="31">
        <f>France!T$8+Italy!T$4</f>
        <v>112420</v>
      </c>
      <c r="U9" s="32">
        <f>France!U$8+Italy!U$4</f>
        <v>49162</v>
      </c>
    </row>
    <row r="10" spans="1:22">
      <c r="A10" s="80" t="s">
        <v>1</v>
      </c>
      <c r="B10" s="81">
        <f t="shared" si="0"/>
        <v>0.29470014819840357</v>
      </c>
      <c r="C10" s="155">
        <v>-22147.240844383894</v>
      </c>
      <c r="D10" s="88">
        <v>-13637.513220047229</v>
      </c>
      <c r="E10" s="126">
        <f>Austria!E$5+Belgium!E$4+Denmark!E$5+France!E$9+Germany!E$5+Italy!E$5+Switzerland!E$5+Netherlands!E$3+Poland!E$4</f>
        <v>164095.47558325846</v>
      </c>
      <c r="F10" s="31">
        <f>Austria!F$5+Belgium!F$4+Denmark!F$5+France!F$9+Germany!F$5+Italy!F$5+Switzerland!F$5+Netherlands!F$3+Poland!F$4</f>
        <v>126744</v>
      </c>
      <c r="G10" s="31">
        <f>Austria!G$5+Belgium!G$4+Denmark!G$5+France!G$9+Germany!G$5+Italy!G$5+Switzerland!G$5+Netherlands!G$3+Poland!G$4</f>
        <v>115376.70070177142</v>
      </c>
      <c r="H10" s="31">
        <f>Austria!H$5+Belgium!H$4+Denmark!H$5+France!H$9+Germany!H$5+Italy!H$5+Switzerland!H$5+Netherlands!H$3+Poland!H$4</f>
        <v>167060.67537557954</v>
      </c>
      <c r="I10" s="31">
        <f>Austria!I$5+Belgium!I$4+Denmark!I$5+France!I$9+Germany!I$5+Italy!I$5+Switzerland!I$5+Netherlands!I$3+Poland!I$4</f>
        <v>134261.46336996337</v>
      </c>
      <c r="J10" s="31">
        <f>Austria!J$5+Belgium!J$4+Denmark!J$5+France!J$9+Germany!J$5+Italy!J$5+Switzerland!J$5+Netherlands!J$3+Poland!J$4</f>
        <v>117902.8</v>
      </c>
      <c r="K10" s="31">
        <f>Austria!K$5+Belgium!K$4+Denmark!K$5+France!K$9+Germany!K$5+Italy!K$5+Switzerland!K$5+Netherlands!K$3+Poland!K$4</f>
        <v>150098</v>
      </c>
      <c r="L10" s="31">
        <v>148435.13800000001</v>
      </c>
      <c r="M10" s="31">
        <v>108047</v>
      </c>
      <c r="N10" s="31">
        <f>Austria!N$5+Belgium!N$4+Denmark!N$5+France!N$9+Germany!N$5+Italy!N$5+Switzerland!N$5+Netherlands!N$3+Poland!N$4</f>
        <v>157702.28</v>
      </c>
      <c r="O10" s="31">
        <f>Austria!O$5+Belgium!O$4+Denmark!O$5+France!O$9+Germany!O$5+Italy!O$5+Switzerland!O$5+Netherlands!O$3+Poland!O$4</f>
        <v>177994.64</v>
      </c>
      <c r="P10" s="31">
        <f>Austria!P$5+Belgium!P$4+Denmark!P$5+France!P$9+Germany!P$5+Italy!P$5+Switzerland!P$5+Netherlands!P$3+Poland!P$4</f>
        <v>182374.12</v>
      </c>
      <c r="Q10" s="31">
        <f>Austria!Q$5+Belgium!Q$4+Denmark!Q$5+France!Q$9+Germany!Q$5+Italy!Q$5+Switzerland!Q$5+Netherlands!Q$3+Poland!Q$4</f>
        <v>150217</v>
      </c>
      <c r="R10" s="31">
        <f>Austria!R$5+Belgium!R$4+Denmark!R$5+France!R$9+Germany!R$5+Italy!R$5+Switzerland!R$5+Netherlands!R$3+Poland!R$4</f>
        <v>143373.08291504564</v>
      </c>
      <c r="S10" s="31">
        <f>Austria!S$5+Belgium!S$4+Denmark!S$5+France!S$9+Germany!S$5+Italy!S$5+Switzerland!S$5+Netherlands!S$3+Poland!S$4</f>
        <v>176468.32867743066</v>
      </c>
      <c r="T10" s="31">
        <f>Austria!T$5+Belgium!T$4+Denmark!T$5+France!T$9+Germany!T$5+Italy!T$5+Switzerland!T$5+Netherlands!T$3+Poland!T$4</f>
        <v>135968</v>
      </c>
      <c r="U10" s="32">
        <f>Austria!U$5+Belgium!U$4+Denmark!U$5+France!U$9+Germany!U$5+Italy!U$5+Switzerland!U$5+Netherlands!U$3+Poland!U$4</f>
        <v>217993.06</v>
      </c>
    </row>
    <row r="11" spans="1:22">
      <c r="A11" s="80" t="s">
        <v>11</v>
      </c>
      <c r="B11" s="81">
        <f t="shared" si="0"/>
        <v>0.10502325145157758</v>
      </c>
      <c r="C11" s="155">
        <v>-16701.304925318196</v>
      </c>
      <c r="D11" s="88">
        <v>-8009.5248652065056</v>
      </c>
      <c r="E11" s="126">
        <f>Austria!E$7+Denmark!E$6+France!E$10+Germany!E$6+Italy!E$6+Spain!E$2</f>
        <v>175536.69396357067</v>
      </c>
      <c r="F11" s="31">
        <f>Austria!F$7+Denmark!F$6+France!F$10+Germany!F$6+Italy!F$6+Spain!F$2</f>
        <v>158853.39401952189</v>
      </c>
      <c r="G11" s="31">
        <f>Austria!G$7+Denmark!G$6+France!G$10+Germany!G$6+Italy!G$6+Spain!G$2</f>
        <v>152755.03567086245</v>
      </c>
      <c r="H11" s="31">
        <f>Austria!H$7+Denmark!H$6+France!H$10+Germany!H$6+Italy!H$6+Spain!H$2</f>
        <v>158961.21507885371</v>
      </c>
      <c r="I11" s="31">
        <f>Austria!I$7+Denmark!I$6+France!I$10+Germany!I$6+Italy!I$6+Spain!I$2</f>
        <v>165009.03048593231</v>
      </c>
      <c r="J11" s="31">
        <f>Austria!J$7+Denmark!J$6+France!J$10+Germany!J$6+Italy!J$6+Spain!J$2</f>
        <v>167442.6871643303</v>
      </c>
      <c r="K11" s="31">
        <f>Austria!K$7+Denmark!K$6+France!K$10+Germany!K$6+Italy!K$6+Spain!K$2</f>
        <v>177379.05948106328</v>
      </c>
      <c r="L11" s="31">
        <v>180181</v>
      </c>
      <c r="M11" s="31">
        <v>150764</v>
      </c>
      <c r="N11" s="31">
        <f>Austria!N$7+Denmark!N$6+France!N$10+Germany!N$6+Italy!N$6+Spain!N$2</f>
        <v>177142.25233051719</v>
      </c>
      <c r="O11" s="31">
        <f>Austria!O$7+Denmark!O$6+France!O$10+Germany!O$6+Italy!O$6+Spain!O$2</f>
        <v>198659.5739788347</v>
      </c>
      <c r="P11" s="31">
        <f>Austria!P$7+Denmark!P$6+France!P$10+Germany!P$6+Italy!P$6+Spain!P$2</f>
        <v>186887.57774285146</v>
      </c>
      <c r="Q11" s="31">
        <f>Austria!Q$7+Denmark!Q$6+France!Q$10+Germany!Q$6+Italy!Q$6+Spain!Q$2</f>
        <v>185200.5378888502</v>
      </c>
      <c r="R11" s="31">
        <f>Austria!R$7+Denmark!R$6+France!R$10+Germany!R$6+Italy!R$6+Spain!R$2</f>
        <v>122542.94120919117</v>
      </c>
      <c r="S11" s="31">
        <f>Austria!S$7+Denmark!S$6+France!S$10+Germany!S$6+Italy!S$6+Spain!S$2</f>
        <v>163377.16784279092</v>
      </c>
      <c r="T11" s="31">
        <f>Austria!T$7+Denmark!T$6+France!T$10+Germany!T$6+Italy!T$6+Spain!T$2</f>
        <v>163965</v>
      </c>
      <c r="U11" s="32">
        <f>Austria!U$7+Denmark!U$6+France!U$10+Germany!U$6+Italy!U$6+Spain!U$2</f>
        <v>154243.79999999999</v>
      </c>
    </row>
    <row r="12" spans="1:22">
      <c r="A12" s="80" t="s">
        <v>8</v>
      </c>
      <c r="B12" s="81">
        <f t="shared" si="0"/>
        <v>8.1979643745731107E-2</v>
      </c>
      <c r="C12" s="155">
        <v>83482.263087795</v>
      </c>
      <c r="D12" s="88">
        <v>88219.986138672219</v>
      </c>
      <c r="E12" s="126">
        <f>Austria!E$8+'Czech Republic'!E$3+Denmark!E$7+France!E$11+Germany!E$7+Italy!E$7+Spain!E$3+Switzerland!E$6+UK!E$6+Poland!E$5</f>
        <v>511086.75086557277</v>
      </c>
      <c r="F12" s="31">
        <f>Austria!F$8+'Czech Republic'!F$3+Denmark!F$7+France!F$11+Germany!F$7+Italy!F$7+Spain!F$3+Switzerland!F$6+UK!F$6+Poland!F$5</f>
        <v>472362.63068335498</v>
      </c>
      <c r="G12" s="31">
        <f>Austria!G$8+'Czech Republic'!G$3+Denmark!G$7+France!G$11+Germany!G$7+Italy!G$7+Spain!G$3+Switzerland!G$6+UK!G$6+Poland!G$5</f>
        <v>447842.68110539869</v>
      </c>
      <c r="H12" s="31">
        <f>Austria!H$8+'Czech Republic'!H$3+Denmark!H$7+France!H$11+Germany!H$7+Italy!H$7+Spain!H$3+Switzerland!H$6+UK!H$6+Poland!H$5</f>
        <v>483399.2748676709</v>
      </c>
      <c r="I12" s="31">
        <f>Austria!I$8+'Czech Republic'!I$3+Denmark!I$7+France!I$11+Germany!I$7+Italy!I$7+Spain!I$3+Switzerland!I$6+UK!I$6+Poland!I$5</f>
        <v>585802.71871812432</v>
      </c>
      <c r="J12" s="31">
        <f>Austria!J$8+'Czech Republic'!J$3+Denmark!J$7+France!J$11+Germany!J$7+Italy!J$7+Spain!J$3+Switzerland!J$6+UK!J$6+Poland!J$5</f>
        <v>500308.06432320515</v>
      </c>
      <c r="K12" s="31">
        <f>Austria!K$8+'Czech Republic'!K$3+Denmark!K$7+France!K$11+Germany!K$7+Italy!K$7+Spain!K$3+Switzerland!K$6+UK!K$6+Poland!K$5</f>
        <v>493023.39793330937</v>
      </c>
      <c r="L12" s="31">
        <v>492377</v>
      </c>
      <c r="M12" s="31">
        <v>388609</v>
      </c>
      <c r="N12" s="31">
        <f>Austria!N$8+'Czech Republic'!N$3+Denmark!N$7+France!N$11+Germany!N$7+Italy!N$7+Spain!N$3+Switzerland!N$6+UK!N$6+Poland!N$5</f>
        <v>391028.47328147391</v>
      </c>
      <c r="O12" s="31">
        <f>Austria!O$8+'Czech Republic'!O$3+Denmark!O$7+France!O$11+Germany!O$7+Italy!O$7+Spain!O$3+Switzerland!O$6+UK!O$6+Poland!O$5</f>
        <v>420750.23170480563</v>
      </c>
      <c r="P12" s="31">
        <f>Austria!P$8+'Czech Republic'!P$3+Denmark!P$7+France!P$11+Germany!P$7+Italy!P$7+Spain!P$3+Switzerland!P$6+UK!P$6+Poland!P$5</f>
        <v>394981.40169797046</v>
      </c>
      <c r="Q12" s="31">
        <f>Austria!Q$8+'Czech Republic'!Q$3+Denmark!Q$7+France!Q$11+Germany!Q$7+Italy!Q$7+Spain!Q$3+Switzerland!Q$6+UK!Q$6+Poland!Q$5</f>
        <v>392569.9426604443</v>
      </c>
      <c r="R12" s="31">
        <f>Austria!R$8+'Czech Republic'!R$3+Denmark!R$7+France!R$11+Germany!R$7+Italy!R$7+Spain!R$3+Switzerland!R$6+UK!R$6+Poland!R$5</f>
        <v>300189.64208136429</v>
      </c>
      <c r="S12" s="31">
        <f>Austria!S$8+'Czech Republic'!S$3+Denmark!S$7+France!S$11+Germany!S$7+Italy!S$7+Spain!S$3+Switzerland!S$6+UK!S$6+Poland!S$5</f>
        <v>344280.71936337167</v>
      </c>
      <c r="T12" s="31">
        <f>Austria!T$8+'Czech Republic'!T$3+Denmark!T$7+France!T$11+Germany!T$7+Italy!T$7+Spain!T$3+Switzerland!T$6+UK!T$6+Poland!T$5</f>
        <v>355528</v>
      </c>
      <c r="U12" s="32">
        <f>Austria!U$8+'Czech Republic'!U$3+Denmark!U$7+France!U$11+Germany!U$7+Italy!U$7+Spain!U$3+Switzerland!U$6+UK!U$6+Poland!U$5</f>
        <v>340599.79</v>
      </c>
    </row>
    <row r="13" spans="1:22">
      <c r="A13" s="80" t="s">
        <v>13</v>
      </c>
      <c r="B13" s="81">
        <f t="shared" si="0"/>
        <v>0.10600174764634633</v>
      </c>
      <c r="C13" s="155">
        <v>25022</v>
      </c>
      <c r="D13" s="88">
        <v>22568.38724168441</v>
      </c>
      <c r="E13" s="126">
        <f>Austria!E$9+Belgium!E$5+'Czech Republic'!E$4+Denmark!E$8+Germany!E$8+Italy!E$8+Poland!E$6</f>
        <v>25131</v>
      </c>
      <c r="F13" s="31">
        <f>Austria!F$9+Belgium!F$5+'Czech Republic'!F$4+Denmark!F$8+Germany!F$8+Italy!F$8+Poland!F$6</f>
        <v>22722.38724168441</v>
      </c>
      <c r="G13" s="31">
        <f>Austria!G$9+Belgium!G$5+'Czech Republic'!G$4+Denmark!G$8+Germany!G$8+Italy!G$8+Poland!G$6</f>
        <v>25055</v>
      </c>
      <c r="H13" s="31">
        <f>Austria!H$9+Belgium!H$5+'Czech Republic'!H$4+Denmark!H$8+Germany!H$8+Italy!H$8+Poland!H$6</f>
        <v>30426</v>
      </c>
      <c r="I13" s="31">
        <f>Austria!I$9+Belgium!I$5+'Czech Republic'!I$4+Denmark!I$8+Germany!I$8+Italy!I$8+Poland!I$6</f>
        <v>90303</v>
      </c>
      <c r="J13" s="31">
        <f>Austria!J$9+Belgium!J$5+'Czech Republic'!J$4+Denmark!J$8+Germany!J$8+Italy!J$8+Poland!J$6</f>
        <v>76431</v>
      </c>
      <c r="K13" s="31">
        <f>Austria!K$9+Belgium!K$5+'Czech Republic'!K$4+Denmark!K$8+Germany!K$8+Italy!K$8+Poland!K$6</f>
        <v>80356</v>
      </c>
      <c r="L13" s="31">
        <v>97443</v>
      </c>
      <c r="M13" s="31">
        <v>96051</v>
      </c>
      <c r="N13" s="31">
        <f>Austria!N$9+Belgium!N$5+'Czech Republic'!N$4+Denmark!N$8+Germany!N$8+Italy!N$8+Poland!N$6</f>
        <v>102454</v>
      </c>
      <c r="O13" s="31">
        <f>Austria!O$9+Belgium!O$5+'Czech Republic'!O$4+Denmark!O$8+Germany!O$8+Italy!O$8+Poland!O$6</f>
        <v>102799</v>
      </c>
      <c r="P13" s="31">
        <f>Austria!P$9+Belgium!P$5+'Czech Republic'!P$4+Denmark!P$8+Germany!P$8+Italy!P$8+Poland!P$6</f>
        <v>105393</v>
      </c>
      <c r="Q13" s="31">
        <f>Austria!Q$9+Belgium!Q$5+'Czech Republic'!Q$4+Denmark!Q$8+Germany!Q$8+Italy!Q$8+Poland!Q$6</f>
        <v>104599</v>
      </c>
      <c r="R13" s="31">
        <f>Austria!R$9+Belgium!R$5+'Czech Republic'!R$4+Denmark!R$8+Germany!R$8+Italy!R$8+Poland!R$6</f>
        <v>107428.19961029508</v>
      </c>
      <c r="S13" s="31">
        <f>Austria!S$9+Belgium!S$5+'Czech Republic'!S$4+Denmark!S$8+Germany!S$8+Italy!S$8+Poland!S$6</f>
        <v>90656.111993791186</v>
      </c>
      <c r="T13" s="31">
        <f>Austria!T$9+Belgium!T$5+'Czech Republic'!T$4+Denmark!T$8+Germany!T$8+Italy!T$8+Poland!T$6</f>
        <v>39756</v>
      </c>
      <c r="U13" s="32">
        <f>Austria!U$9+Belgium!U$5+'Czech Republic'!U$4+Denmark!U$8+Germany!U$8+Italy!U$8+Poland!U$6</f>
        <v>35852.75</v>
      </c>
    </row>
    <row r="14" spans="1:22">
      <c r="A14" s="80" t="s">
        <v>2</v>
      </c>
      <c r="B14" s="81">
        <f t="shared" si="0"/>
        <v>-1.6935720521146801E-2</v>
      </c>
      <c r="C14" s="155">
        <v>116586.34310899395</v>
      </c>
      <c r="D14" s="88">
        <v>131330.49905632332</v>
      </c>
      <c r="E14" s="126">
        <f>Austria!E$10+Belgium!E$6+'Czech Republic'!E$5+France!E$12+Germany!E$9+Italy!E$9+Spain!E$4+Switzerland!E$8+Netherlands!E$4+Poland!E$7</f>
        <v>1017360.5516008419</v>
      </c>
      <c r="F14" s="31">
        <f>Austria!F$10+Belgium!F$6+'Czech Republic'!F$5+France!F$12+Germany!F$9+Italy!F$9+Spain!F$4+Switzerland!F$8+Netherlands!F$4+Poland!F$7</f>
        <v>1034887.11047478</v>
      </c>
      <c r="G14" s="31">
        <f>Austria!G$10+Belgium!G$6+'Czech Republic'!G$5+France!G$12+Germany!G$9+Italy!G$9+Spain!G$4+Switzerland!G$8+Netherlands!G$4+Poland!G$7</f>
        <v>1110134.8639827212</v>
      </c>
      <c r="H14" s="31">
        <f>Austria!H$10+Belgium!H$6+'Czech Republic'!H$5+France!H$12+Germany!H$9+Italy!H$9+Spain!H$4+Switzerland!H$8+Netherlands!H$4+Poland!H$7</f>
        <v>954777.622685184</v>
      </c>
      <c r="I14" s="31">
        <f>Austria!I$10+Belgium!I$6+'Czech Republic'!I$5+France!I$12+Germany!I$9+Italy!I$9+Spain!I$4+Switzerland!I$8+Netherlands!I$4+Poland!I$7</f>
        <v>1173574.7999318654</v>
      </c>
      <c r="J14" s="31">
        <f>Austria!J$10+Belgium!J$6+'Czech Republic'!J$5+France!J$12+Germany!J$9+Italy!J$9+Spain!J$4+Switzerland!J$8+Netherlands!J$4+Poland!J$7</f>
        <v>974408.19212685002</v>
      </c>
      <c r="K14" s="31">
        <f>Austria!K$10+Belgium!K$6+'Czech Republic'!K$5+France!K$12+Germany!K$9+Italy!K$9+Spain!K$4+Switzerland!K$8+Netherlands!K$4+Poland!K$7</f>
        <v>1173279.2539928956</v>
      </c>
      <c r="L14" s="31">
        <v>1160226.358</v>
      </c>
      <c r="M14" s="31">
        <v>909613</v>
      </c>
      <c r="N14" s="31">
        <f>Austria!N$10+Belgium!N$6+'Czech Republic'!N$5+France!N$12+Germany!N$9+Italy!N$9+Spain!N$4+Switzerland!N$8+Netherlands!N$4+Poland!N$7</f>
        <v>1314858.1637050812</v>
      </c>
      <c r="O14" s="31">
        <f>Austria!O$10+Belgium!O$6+'Czech Republic'!O$5+France!O$12+Germany!O$9+Italy!O$9+Spain!O$4+Switzerland!O$8+Netherlands!O$4+Poland!O$7</f>
        <v>1335442.3434393425</v>
      </c>
      <c r="P14" s="31">
        <f>Austria!P$10+Belgium!P$6+'Czech Republic'!P$5+France!P$12+Germany!P$9+Italy!P$9+Spain!P$4+Switzerland!P$8+Netherlands!P$4+Poland!P$7</f>
        <v>1404834.9183767405</v>
      </c>
      <c r="Q14" s="31">
        <f>Austria!Q$10+Belgium!Q$6+'Czech Republic'!Q$5+France!Q$12+Germany!Q$9+Italy!Q$9+Spain!Q$4+Switzerland!Q$8+Netherlands!Q$4+Poland!Q$7</f>
        <v>1292511.1590655383</v>
      </c>
      <c r="R14" s="31">
        <f>Austria!R$10+Belgium!R$6+'Czech Republic'!R$5+France!R$12+Germany!R$9+Italy!R$9+Spain!R$4+Switzerland!R$8+Netherlands!R$4+Poland!R$7</f>
        <v>1149090.0206910041</v>
      </c>
      <c r="S14" s="31">
        <f>Austria!S$10+Belgium!S$6+'Czech Republic'!S$5+France!S$12+Germany!S$9+Italy!S$9+Spain!S$4+Switzerland!S$8+Netherlands!S$4+Poland!S$7</f>
        <v>1299556.233090925</v>
      </c>
      <c r="T14" s="31">
        <f>Austria!T$10+Belgium!T$6+'Czech Republic'!T$5+France!T$12+Germany!T$9+Italy!T$9+Spain!T$4+Switzerland!T$8+Netherlands!T$4+Poland!T$7</f>
        <v>1264059</v>
      </c>
      <c r="U14" s="32">
        <f>Austria!U$10+Belgium!U$6+'Czech Republic'!U$5+France!U$12+Germany!U$9+Italy!U$9+Spain!U$4+Switzerland!U$8+Netherlands!U$4+Poland!U$7</f>
        <v>1308462.29</v>
      </c>
    </row>
    <row r="15" spans="1:22">
      <c r="A15" s="80" t="s">
        <v>16</v>
      </c>
      <c r="B15" s="81">
        <f t="shared" si="0"/>
        <v>1.8853456215262104E-2</v>
      </c>
      <c r="C15" s="155">
        <v>-22128.746575342462</v>
      </c>
      <c r="D15" s="88">
        <v>1348.975942493882</v>
      </c>
      <c r="E15" s="126">
        <f>Austria!E$11+France!E$14+Italy!E$10+Spain!E$5+Switzerland!E$9+Denmark!E$9</f>
        <v>205983.75342465754</v>
      </c>
      <c r="F15" s="31">
        <f>Austria!F$11+France!F$14+Italy!F$10+Spain!F$5+Switzerland!F$9+Denmark!F$9</f>
        <v>202172.11039340828</v>
      </c>
      <c r="G15" s="31">
        <f>Austria!G$11+France!G$14+Italy!G$10+Spain!G$5+Switzerland!G$9+Denmark!G$9</f>
        <v>163725.93935319802</v>
      </c>
      <c r="H15" s="31">
        <f>Austria!H$11+France!H$14+Italy!H$10+Spain!H$5+Switzerland!H$9+Denmark!H$9</f>
        <v>201536.30817012911</v>
      </c>
      <c r="I15" s="31">
        <f>Austria!I$11+France!I$14+Italy!I$10+Spain!I$5+Switzerland!I$9+Denmark!I$9</f>
        <v>184709.73423062943</v>
      </c>
      <c r="J15" s="31">
        <f>Austria!J$11+France!J$14+Italy!J$10+Spain!J$5+Switzerland!J$9+Denmark!J$9</f>
        <v>200701.39298359735</v>
      </c>
      <c r="K15" s="31">
        <f>Austria!K$11+France!K$14+Italy!K$10+Spain!K$5+Switzerland!K$9+Denmark!K$9</f>
        <v>180209.13792477964</v>
      </c>
      <c r="L15" s="31">
        <v>197039</v>
      </c>
      <c r="M15" s="31">
        <v>201348</v>
      </c>
      <c r="N15" s="31">
        <f>Austria!N$11+France!N$14+Italy!N$10+Spain!N$5+Switzerland!N$9</f>
        <v>176921.27023815524</v>
      </c>
      <c r="O15" s="31">
        <f>Austria!O$11+France!O$14+Italy!O$10+Spain!O$5+Switzerland!O$9</f>
        <v>209174.93969144335</v>
      </c>
      <c r="P15" s="31">
        <f>Austria!P$11+France!P$14+Italy!P$10+Spain!P$5+Switzerland!P$9</f>
        <v>202310.76860896731</v>
      </c>
      <c r="Q15" s="31">
        <f>Austria!Q$11+France!Q$14+Italy!Q$10+Spain!Q$5+Switzerland!Q$9</f>
        <v>199942.58674786903</v>
      </c>
      <c r="R15" s="31">
        <f>Austria!R$11+France!R$14+Italy!R$10+Spain!R$5+Switzerland!R$9</f>
        <v>132081.69403624372</v>
      </c>
      <c r="S15" s="31">
        <f>Austria!S$11+France!S$14+Italy!S$10+Spain!S$5+Switzerland!S$9</f>
        <v>177133.67660738155</v>
      </c>
      <c r="T15" s="31">
        <f>Austria!T$11+France!T$14+Italy!T$10+Spain!T$5+Switzerland!T$9</f>
        <v>163435</v>
      </c>
      <c r="U15" s="32">
        <f>Austria!U$11+France!U$14+Italy!U$10+Spain!U$5+Switzerland!U$9</f>
        <v>166516.37</v>
      </c>
    </row>
    <row r="16" spans="1:22">
      <c r="A16" s="80" t="s">
        <v>14</v>
      </c>
      <c r="B16" s="81">
        <f t="shared" si="0"/>
        <v>1.8003442340791738</v>
      </c>
      <c r="C16" s="155">
        <v>-861</v>
      </c>
      <c r="D16" s="88">
        <v>-396</v>
      </c>
      <c r="E16" s="126">
        <f>Denmark!E$10+Germany!E$10</f>
        <v>1627</v>
      </c>
      <c r="F16" s="31">
        <f>Denmark!F$10+Germany!F$10</f>
        <v>581</v>
      </c>
      <c r="G16" s="31">
        <f>Denmark!G$10+Germany!G$10</f>
        <v>872</v>
      </c>
      <c r="H16" s="31">
        <f>Denmark!H$10+Germany!H$10</f>
        <v>2736</v>
      </c>
      <c r="I16" s="31">
        <f>Denmark!I$10+Germany!I$10</f>
        <v>2299</v>
      </c>
      <c r="J16" s="31">
        <f>Denmark!J$10+Germany!J$10</f>
        <v>3098</v>
      </c>
      <c r="K16" s="31">
        <f>Denmark!K$10+Germany!K$10</f>
        <v>4363</v>
      </c>
      <c r="L16" s="31">
        <v>4155</v>
      </c>
      <c r="M16" s="31">
        <v>1154</v>
      </c>
      <c r="N16" s="31">
        <f>Denmark!N$10+Germany!N$10</f>
        <v>4364</v>
      </c>
      <c r="O16" s="31">
        <f>Denmark!O$10+Germany!O$10</f>
        <v>5991</v>
      </c>
      <c r="P16" s="31">
        <f>Denmark!P$10+Germany!P$10</f>
        <v>4738</v>
      </c>
      <c r="Q16" s="31">
        <f>Denmark!Q$10+Germany!Q$10</f>
        <v>1563</v>
      </c>
      <c r="R16" s="31">
        <f>Denmark!R$10+Germany!R$10</f>
        <v>2558</v>
      </c>
      <c r="S16" s="31">
        <f>Denmark!S$10+Germany!S$10</f>
        <v>5741</v>
      </c>
      <c r="T16" s="31">
        <f>Denmark!T$10+Germany!T$10</f>
        <v>5666</v>
      </c>
      <c r="U16" s="32">
        <f>Denmark!U$10+Germany!U$10</f>
        <v>7432</v>
      </c>
    </row>
    <row r="17" spans="1:107">
      <c r="A17" s="80" t="s">
        <v>9</v>
      </c>
      <c r="B17" s="81">
        <f t="shared" si="0"/>
        <v>0.33348023885128508</v>
      </c>
      <c r="C17" s="155">
        <v>210877.90651864119</v>
      </c>
      <c r="D17" s="88">
        <v>158926.36374574274</v>
      </c>
      <c r="E17" s="126">
        <f>Austria!E$12+'Czech Republic'!E$6+Denmark!E$11+France!E$16+Germany!E$11+Italy!E$11+Switzerland!E$10+Poland!E$8</f>
        <v>217709.88318530784</v>
      </c>
      <c r="F17" s="31">
        <f>Austria!F$12+'Czech Republic'!F$6+Denmark!F$11+France!F$16+Germany!F$11+Italy!F$11+Switzerland!F$10+Poland!F$8</f>
        <v>163264.42405539667</v>
      </c>
      <c r="G17" s="31">
        <f>Austria!G$12+'Czech Republic'!G$6+Denmark!G$11+France!G$16+Germany!G$11+Italy!G$11+Switzerland!G$10+Poland!G$8</f>
        <v>188903.54764413668</v>
      </c>
      <c r="H17" s="31">
        <f>Austria!H$12+'Czech Republic'!H$6+Denmark!H$11+France!H$16+Germany!H$11+Italy!H$11+Switzerland!H$10+Poland!H$8</f>
        <v>245913.61660561661</v>
      </c>
      <c r="I17" s="31">
        <f>Austria!I$12+'Czech Republic'!I$6+Denmark!I$11+France!I$16+Germany!I$11+Italy!I$11+Switzerland!I$10+Poland!I$8</f>
        <v>328090.21550671553</v>
      </c>
      <c r="J17" s="31">
        <f>Austria!J$12+'Czech Republic'!J$6+Denmark!J$11+France!J$16+Germany!J$11+Italy!J$11+Switzerland!J$10+Poland!J$8</f>
        <v>271211.5</v>
      </c>
      <c r="K17" s="31">
        <f>Austria!K$12+'Czech Republic'!K$6+Denmark!K$11+France!K$16+Germany!K$11+Italy!K$11+Switzerland!K$10+Poland!K$8</f>
        <v>228528</v>
      </c>
      <c r="L17" s="31">
        <v>385079</v>
      </c>
      <c r="M17" s="31">
        <v>203472</v>
      </c>
      <c r="N17" s="31">
        <f>Austria!N$12+'Czech Republic'!N$6+Denmark!N$11+France!N$16+Germany!N$11+Italy!N$11+Switzerland!N$10+Poland!N$8</f>
        <v>352135.52</v>
      </c>
      <c r="O17" s="31">
        <f>Austria!O$12+'Czech Republic'!O$6+Denmark!O$11+France!O$16+Germany!O$11+Italy!O$11+Switzerland!O$10+Poland!O$8</f>
        <v>419280.42</v>
      </c>
      <c r="P17" s="31">
        <f>Austria!P$12+'Czech Republic'!P$6+Denmark!P$11+France!P$16+Germany!P$11+Italy!P$11+Switzerland!P$10+Poland!P$8</f>
        <v>392405.96</v>
      </c>
      <c r="Q17" s="31">
        <f>Austria!Q$12+'Czech Republic'!Q$6+Denmark!Q$11+France!Q$16+Germany!Q$11+Italy!Q$11+Switzerland!Q$10+Poland!Q$8</f>
        <v>358207</v>
      </c>
      <c r="R17" s="31">
        <f>Austria!R$12+'Czech Republic'!R$6+Denmark!R$11+France!R$16+Germany!R$11+Italy!R$11+Switzerland!R$10+Poland!R$8</f>
        <v>329886.28925975872</v>
      </c>
      <c r="S17" s="31">
        <f>Austria!S$12+'Czech Republic'!S$6+Denmark!S$11+France!S$16+Germany!S$11+Italy!S$11+Switzerland!S$10+Poland!S$8</f>
        <v>276888.0689363752</v>
      </c>
      <c r="T17" s="31">
        <f>Austria!T$12+'Czech Republic'!T$6+Denmark!T$11+France!T$16+Germany!T$11+Italy!T$11+Switzerland!T$10+Poland!T$8</f>
        <v>164328</v>
      </c>
      <c r="U17" s="32">
        <f>Austria!U$12+'Czech Republic'!U$6+Denmark!U$11+France!U$16+Germany!U$11+Italy!U$11+Switzerland!U$10+Poland!U$8</f>
        <v>195528.9</v>
      </c>
      <c r="V17" s="31"/>
    </row>
    <row r="18" spans="1:107">
      <c r="A18" s="80" t="s">
        <v>25</v>
      </c>
      <c r="B18" s="81">
        <f t="shared" si="0"/>
        <v>0.2880415822737149</v>
      </c>
      <c r="C18" s="155">
        <v>35175.776791823766</v>
      </c>
      <c r="D18" s="88">
        <v>34265.644945515698</v>
      </c>
      <c r="E18" s="126">
        <f>Austria!E$13+Belgium!E$7+'Czech Republic'!E$7+Denmark!E$13+France!E$18+Germany!E$13+Italy!E$12+Switzerland!E$11+Netherlands!E$5+UK!E$7+Poland!E$9</f>
        <v>209647.73751688947</v>
      </c>
      <c r="F18" s="31">
        <f>Austria!F$13+Belgium!F$7+'Czech Republic'!F$7+Denmark!F$13+France!F$18+Germany!F$13+Italy!F$12+Switzerland!F$11+Netherlands!F$5+UK!F$7+Poland!F$9</f>
        <v>162764.72778682259</v>
      </c>
      <c r="G18" s="31">
        <f>Austria!G$13+Belgium!G$7+'Czech Republic'!G$7+Denmark!G$13+France!G$18+Germany!G$13+Italy!G$12+Switzerland!G$11+Netherlands!G$5+UK!G$7+Poland!G$9</f>
        <v>195556.69603104214</v>
      </c>
      <c r="H18" s="31">
        <f>Austria!H$13+Belgium!H$7+'Czech Republic'!H$7+Denmark!H$13+France!H$18+Germany!H$13+Italy!H$12+Switzerland!H$11+Netherlands!H$5+UK!H$7+Poland!H$9</f>
        <v>226203.92927925079</v>
      </c>
      <c r="I18" s="31">
        <f>Austria!I$13+Belgium!I$7+'Czech Republic'!I$7+Denmark!I$13+France!I$18+Germany!I$13+Italy!I$12+Switzerland!I$11+Netherlands!I$5+UK!I$7+Poland!I$9</f>
        <v>296344.17191697191</v>
      </c>
      <c r="J18" s="31">
        <f>Austria!J$13+Belgium!J$7+'Czech Republic'!J$7+Denmark!J$13+France!J$18+Germany!J$13+Italy!J$12+Switzerland!J$11+Netherlands!J$5+UK!J$7+Poland!J$9</f>
        <v>243953.3</v>
      </c>
      <c r="K18" s="31">
        <f>Austria!K$13+Belgium!K$7+'Czech Republic'!K$7+Denmark!K$13+France!K$18+Germany!K$13+Italy!K$12+Switzerland!K$11+Netherlands!K$5+UK!K$7+Poland!K$9</f>
        <v>267979</v>
      </c>
      <c r="L18" s="31">
        <v>334563.01199999999</v>
      </c>
      <c r="M18" s="31">
        <v>147882</v>
      </c>
      <c r="N18" s="31">
        <f>Austria!N$13+Belgium!N$7+'Czech Republic'!N$7+Denmark!N$13+France!N$18+Germany!N$13+Italy!N$12+Switzerland!N$11+Netherlands!N$5+UK!N$7+Poland!N$9</f>
        <v>316682.2</v>
      </c>
      <c r="O18" s="31">
        <f>Austria!O$13+Belgium!O$7+'Czech Republic'!O$7+Denmark!O$13+France!O$18+Germany!O$13+Italy!O$12+Switzerland!O$11+Netherlands!O$5+UK!O$7+Poland!O$9</f>
        <v>351287.68</v>
      </c>
      <c r="P18" s="31">
        <f>Austria!P$13+Belgium!P$7+'Czech Republic'!P$7+Denmark!P$13+France!P$18+Germany!P$13+Italy!P$12+Switzerland!P$11+Netherlands!P$5+UK!P$7+Poland!P$9</f>
        <v>356959.36</v>
      </c>
      <c r="Q18" s="31">
        <f>Austria!Q$13+Belgium!Q$7+'Czech Republic'!Q$7+Denmark!Q$13+France!Q$18+Germany!Q$13+Italy!Q$12+Switzerland!Q$11+Netherlands!Q$5+UK!Q$7+Poland!Q$9</f>
        <v>310373</v>
      </c>
      <c r="R18" s="31">
        <f>Austria!R$13+Belgium!R$7+'Czech Republic'!R$7+Denmark!R$13+France!R$18+Germany!R$13+Italy!R$12+Switzerland!R$11+Netherlands!R$5+UK!R$7+Poland!R$9</f>
        <v>291170.03922138247</v>
      </c>
      <c r="S18" s="31">
        <f>Austria!S$13+Belgium!S$7+'Czech Republic'!S$7+Denmark!S$13+France!S$18+Germany!S$13+Italy!S$12+Switzerland!S$11+Netherlands!S$5+UK!S$7+Poland!S$9</f>
        <v>329652.02471480746</v>
      </c>
      <c r="T18" s="31">
        <f>Austria!T$13+Belgium!T$7+'Czech Republic'!T$7+Denmark!T$13+France!T$18+Germany!T$13+Italy!T$12+Switzerland!T$11+Netherlands!T$5+UK!T$7+Poland!T$9</f>
        <v>250782</v>
      </c>
      <c r="U18" s="32">
        <f>Austria!U$13+Belgium!U$7+'Czech Republic'!U$7+Denmark!U$13+France!U$18+Germany!U$13+Italy!U$12+Switzerland!U$11+Netherlands!U$5+UK!U$7+Poland!U$9</f>
        <v>388660</v>
      </c>
      <c r="V18" s="31"/>
    </row>
    <row r="19" spans="1:107">
      <c r="A19" s="80" t="s">
        <v>24</v>
      </c>
      <c r="B19" s="81">
        <f t="shared" si="0"/>
        <v>0.28166547030861799</v>
      </c>
      <c r="C19" s="155">
        <v>-7106.2616790902975</v>
      </c>
      <c r="D19" s="88">
        <v>-1826.5640162457894</v>
      </c>
      <c r="E19" s="126">
        <f>Austria!E$14+Belgium!E$8+Denmark!E$14+Germany!E$14+UK!E$8</f>
        <v>36774</v>
      </c>
      <c r="F19" s="31">
        <f>Austria!F$14+Belgium!F$8+Denmark!F$14+Germany!F$14+UK!F$8</f>
        <v>28692.354480881055</v>
      </c>
      <c r="G19" s="31">
        <f>Austria!G$14+Belgium!G$8+Denmark!G$14+Germany!G$14+UK!G$8</f>
        <v>34999.701304787202</v>
      </c>
      <c r="H19" s="31">
        <f>Austria!H$14+Belgium!H$8+Denmark!H$14+Germany!H$14+UK!H$8</f>
        <v>42278.944897530986</v>
      </c>
      <c r="I19" s="31">
        <f>Austria!I$14+Belgium!I$8+Denmark!I$14+Germany!I$14+UK!I$8</f>
        <v>56554</v>
      </c>
      <c r="J19" s="31">
        <f>Austria!J$14+Belgium!J$8+Denmark!J$14+Germany!J$14+UK!J$8</f>
        <v>47509</v>
      </c>
      <c r="K19" s="31">
        <f>Austria!K$14+Belgium!K$8+Denmark!K$14+Germany!K$14+UK!K$8</f>
        <v>73208</v>
      </c>
      <c r="L19" s="31">
        <v>101167</v>
      </c>
      <c r="M19" s="31">
        <v>34438</v>
      </c>
      <c r="N19" s="31">
        <f>Austria!N$14+Belgium!N$8+Denmark!N$14+Germany!N$14+UK!N$8</f>
        <v>101862.56</v>
      </c>
      <c r="O19" s="31">
        <f>Austria!O$14+Belgium!O$8+Denmark!O$14+Germany!O$14+UK!O$8</f>
        <v>115422.8</v>
      </c>
      <c r="P19" s="31">
        <f>Austria!P$14+Belgium!P$8+Denmark!P$14+Germany!P$14+UK!P$8</f>
        <v>140802.32</v>
      </c>
      <c r="Q19" s="31">
        <f>Austria!Q$14+Belgium!Q$8+Denmark!Q$14+Germany!Q$14+UK!Q$8</f>
        <v>97377</v>
      </c>
      <c r="R19" s="31">
        <f>Austria!R$14+Belgium!R$8+Denmark!R$14+Germany!R$14+UK!R$8</f>
        <v>117191</v>
      </c>
      <c r="S19" s="31">
        <f>Austria!S$14+Belgium!S$8+Denmark!S$14+Germany!S$14+UK!S$8</f>
        <v>121157</v>
      </c>
      <c r="T19" s="31">
        <f>Austria!T$14+Belgium!T$8+Denmark!T$14+Germany!T$14+UK!T$8</f>
        <v>101491</v>
      </c>
      <c r="U19" s="32">
        <f>Austria!U$14+Belgium!U$8+Denmark!U$14+Germany!U$14+UK!U$8</f>
        <v>132300</v>
      </c>
    </row>
    <row r="20" spans="1:107">
      <c r="A20" s="80" t="s">
        <v>48</v>
      </c>
      <c r="B20" s="138" t="str">
        <f t="shared" si="0"/>
        <v/>
      </c>
      <c r="C20" s="139">
        <v>0</v>
      </c>
      <c r="D20" s="88">
        <v>0</v>
      </c>
      <c r="E20" s="126">
        <f>Italy!E$13</f>
        <v>0</v>
      </c>
      <c r="F20" s="31">
        <f>Italy!F$13</f>
        <v>0</v>
      </c>
      <c r="G20" s="31">
        <f>Italy!G$13</f>
        <v>0</v>
      </c>
      <c r="H20" s="31">
        <f>Italy!H$13</f>
        <v>0</v>
      </c>
      <c r="I20" s="31">
        <f>Italy!I$13</f>
        <v>0</v>
      </c>
      <c r="J20" s="31">
        <f>Italy!J$13</f>
        <v>0</v>
      </c>
      <c r="K20" s="31">
        <f>Italy!K$13</f>
        <v>0</v>
      </c>
      <c r="L20" s="31">
        <v>0</v>
      </c>
      <c r="M20" s="31">
        <v>0</v>
      </c>
      <c r="N20" s="31">
        <f>Italy!N$13</f>
        <v>0</v>
      </c>
      <c r="O20" s="31">
        <f>Italy!O$13</f>
        <v>7</v>
      </c>
      <c r="P20" s="31">
        <f>Italy!P$13</f>
        <v>8</v>
      </c>
      <c r="Q20" s="31">
        <f>Italy!Q$13</f>
        <v>0</v>
      </c>
      <c r="R20" s="31">
        <f>Italy!R$13</f>
        <v>1.0030709276165608</v>
      </c>
      <c r="S20" s="31">
        <f>Italy!S$13+Poland!S$10</f>
        <v>115007.01704253344</v>
      </c>
      <c r="T20" s="31">
        <f>Italy!T$13+Poland!T$10</f>
        <v>1</v>
      </c>
      <c r="U20" s="32">
        <f>Italy!U$13+Poland!U$10</f>
        <v>10004.620000000001</v>
      </c>
    </row>
    <row r="21" spans="1:107">
      <c r="A21" s="80" t="s">
        <v>32</v>
      </c>
      <c r="B21" s="81" t="str">
        <f t="shared" si="0"/>
        <v/>
      </c>
      <c r="C21" s="155">
        <v>0</v>
      </c>
      <c r="D21" s="88">
        <v>0</v>
      </c>
      <c r="E21" s="126">
        <f>Poland!E$11</f>
        <v>0</v>
      </c>
      <c r="F21" s="31">
        <f>Poland!F$11</f>
        <v>0</v>
      </c>
      <c r="G21" s="31">
        <f>Poland!G$11</f>
        <v>0</v>
      </c>
      <c r="H21" s="31">
        <f>Poland!H$11</f>
        <v>0</v>
      </c>
      <c r="I21" s="31">
        <f>Poland!I$11</f>
        <v>0</v>
      </c>
      <c r="J21" s="31">
        <f>Poland!J$11</f>
        <v>0</v>
      </c>
      <c r="K21" s="31">
        <f>Poland!K$11</f>
        <v>0</v>
      </c>
      <c r="L21" s="31">
        <v>0</v>
      </c>
      <c r="M21" s="31">
        <v>0</v>
      </c>
      <c r="N21" s="31">
        <f>Poland!N$11</f>
        <v>0</v>
      </c>
      <c r="O21" s="31">
        <f>Poland!O$11</f>
        <v>0</v>
      </c>
      <c r="P21" s="31">
        <f>Poland!P$11</f>
        <v>2000</v>
      </c>
      <c r="Q21" s="31">
        <f>Poland!Q$11</f>
        <v>2000</v>
      </c>
      <c r="R21" s="31">
        <f>Poland!R$11</f>
        <v>5000</v>
      </c>
      <c r="S21" s="31">
        <f>Poland!S$11</f>
        <v>5000</v>
      </c>
      <c r="T21" s="31">
        <f>Poland!T$11</f>
        <v>30000</v>
      </c>
      <c r="U21" s="32">
        <f>Poland!U$11</f>
        <v>65000</v>
      </c>
    </row>
    <row r="22" spans="1:107">
      <c r="A22" s="80" t="s">
        <v>17</v>
      </c>
      <c r="B22" s="81">
        <f t="shared" si="0"/>
        <v>0.16495575757434922</v>
      </c>
      <c r="C22" s="155">
        <v>-4744</v>
      </c>
      <c r="D22" s="88">
        <v>-3344.7076637052996</v>
      </c>
      <c r="E22" s="126">
        <f>Italy!E$14</f>
        <v>17975</v>
      </c>
      <c r="F22" s="31">
        <f>Italy!F$14</f>
        <v>15429.770515429045</v>
      </c>
      <c r="G22" s="31">
        <f>Italy!G$14</f>
        <v>14506.852021060015</v>
      </c>
      <c r="H22" s="31">
        <f>Italy!H$14</f>
        <v>15639.734384752546</v>
      </c>
      <c r="I22" s="31">
        <f>Italy!I$14</f>
        <v>16497.456237868468</v>
      </c>
      <c r="J22" s="31">
        <f>Italy!J$14</f>
        <v>20586.154000000002</v>
      </c>
      <c r="K22" s="31">
        <f>Italy!K$14</f>
        <v>22074</v>
      </c>
      <c r="L22" s="31">
        <v>23355</v>
      </c>
      <c r="M22" s="31">
        <v>18463</v>
      </c>
      <c r="N22" s="31">
        <f>Italy!N$14</f>
        <v>23139.200000000001</v>
      </c>
      <c r="O22" s="31">
        <f>Italy!O$14</f>
        <v>25805.7</v>
      </c>
      <c r="P22" s="31">
        <f>Italy!P$14</f>
        <v>31824</v>
      </c>
      <c r="Q22" s="31">
        <f>Italy!Q$14</f>
        <v>25616</v>
      </c>
      <c r="R22" s="31">
        <f>Italy!R$14</f>
        <v>26016.650649590734</v>
      </c>
      <c r="S22" s="31">
        <f>Italy!S$14</f>
        <v>17180.727425809095</v>
      </c>
      <c r="T22" s="31">
        <f>Italy!T$14</f>
        <v>46392</v>
      </c>
      <c r="U22" s="32">
        <f>Italy!U$14</f>
        <v>35343.760000000002</v>
      </c>
    </row>
    <row r="23" spans="1:107">
      <c r="A23" s="80" t="s">
        <v>12</v>
      </c>
      <c r="B23" s="81">
        <f t="shared" si="0"/>
        <v>0.13092134204361847</v>
      </c>
      <c r="C23" s="155">
        <v>52712.159677187345</v>
      </c>
      <c r="D23" s="88">
        <v>45188.980427265698</v>
      </c>
      <c r="E23" s="126">
        <f>Austria!E$16+Denmark!E$16+Germany!E$15+Switzerland!E$14+Poland!E$12+Italy!E$15</f>
        <v>112579.34412163179</v>
      </c>
      <c r="F23" s="31">
        <f>Austria!F$16+Denmark!F$16+Germany!F$15+Switzerland!F$14+Poland!F$12+Italy!F$15</f>
        <v>99546.573166792106</v>
      </c>
      <c r="G23" s="31">
        <f>Austria!G$16+Denmark!G$16+Germany!G$15+Switzerland!G$14+Poland!G$12+Italy!G$15</f>
        <v>106187.74001204276</v>
      </c>
      <c r="H23" s="31">
        <f>Austria!H$16+Denmark!H$16+Germany!H$15+Switzerland!H$14+Poland!H$12+Italy!H$15</f>
        <v>101762.18487301588</v>
      </c>
      <c r="I23" s="31">
        <f>Austria!I$16+Denmark!I$16+Germany!I$15+Switzerland!I$14+Poland!I$12+Italy!I$15</f>
        <v>100294.86324786325</v>
      </c>
      <c r="J23" s="31">
        <f>Austria!J$16+Denmark!J$16+Germany!J$15+Switzerland!J$14+Poland!J$12+Italy!J$15</f>
        <v>88794.65</v>
      </c>
      <c r="K23" s="31">
        <f>Austria!K$16+Denmark!K$16+Germany!K$15+Switzerland!K$14+Poland!K$12+Italy!K$15</f>
        <v>57628</v>
      </c>
      <c r="L23" s="31">
        <v>86440</v>
      </c>
      <c r="M23" s="31">
        <v>29004</v>
      </c>
      <c r="N23" s="31">
        <f>Austria!N$16+Denmark!N$16+Germany!N$15+Switzerland!N$14+Poland!N$12</f>
        <v>34079.760000000002</v>
      </c>
      <c r="O23" s="31">
        <f>Austria!O$16+Denmark!O$16+Germany!O$15+Switzerland!O$14+Poland!O$12</f>
        <v>35784.68</v>
      </c>
      <c r="P23" s="31">
        <f>Austria!P$16+Denmark!P$16+Germany!P$15+Switzerland!P$14+Poland!P$12</f>
        <v>37831.72</v>
      </c>
      <c r="Q23" s="31">
        <f>Austria!Q$16+Denmark!Q$16+Germany!Q$15+Switzerland!Q$14+Poland!Q$12</f>
        <v>33170</v>
      </c>
      <c r="R23" s="31">
        <f>Austria!R$16+Denmark!R$16+Germany!R$15+Switzerland!R$14+Poland!R$12</f>
        <v>47208</v>
      </c>
      <c r="S23" s="31">
        <f>Austria!S$16+Denmark!S$16+Germany!S$15+Switzerland!S$14</f>
        <v>13370</v>
      </c>
      <c r="T23" s="31">
        <f>Austria!T$16+Denmark!T$16+Germany!T$15+Switzerland!T$14</f>
        <v>14138</v>
      </c>
      <c r="U23" s="32">
        <f>Austria!U$16+Denmark!U$16+Germany!U$15+Switzerland!U$14</f>
        <v>17608</v>
      </c>
      <c r="X23" s="31"/>
    </row>
    <row r="24" spans="1:107">
      <c r="A24" s="80" t="s">
        <v>18</v>
      </c>
      <c r="B24" s="81">
        <f t="shared" si="0"/>
        <v>-0.12108122762675883</v>
      </c>
      <c r="C24" s="155">
        <v>22053</v>
      </c>
      <c r="D24" s="88">
        <v>24243.884735562577</v>
      </c>
      <c r="E24" s="126">
        <f>'Czech Republic'!E$8+France!E$21+Italy!E$16+Spain!E$6+Poland!E$13</f>
        <v>178531</v>
      </c>
      <c r="F24" s="31">
        <f>'Czech Republic'!F$8+France!F$21+Italy!F$16+Spain!F$6+Poland!F$13</f>
        <v>203125.71037472974</v>
      </c>
      <c r="G24" s="31">
        <f>'Czech Republic'!G$8+France!G$21+Italy!G$16+Spain!G$6+Poland!G$13</f>
        <v>177542.12934484467</v>
      </c>
      <c r="H24" s="31">
        <f>'Czech Republic'!H$8+France!H$21+Italy!H$16+Spain!H$6+Poland!H$13</f>
        <v>241183.54696056916</v>
      </c>
      <c r="I24" s="31">
        <f>'Czech Republic'!I$8+France!I$21+Italy!I$16+Spain!I$6+Poland!I$13</f>
        <v>217246.55723303457</v>
      </c>
      <c r="J24" s="31">
        <f>'Czech Republic'!J$8+France!J$21+Italy!J$16+Spain!J$6+Poland!J$13</f>
        <v>227843.4985502504</v>
      </c>
      <c r="K24" s="31">
        <f>'Czech Republic'!K$8+France!K$21+Italy!K$16+Spain!K$6+Poland!K$13</f>
        <v>221822.01151159412</v>
      </c>
      <c r="L24" s="31">
        <v>241874</v>
      </c>
      <c r="M24" s="31">
        <v>159204</v>
      </c>
      <c r="N24" s="31">
        <f>'Czech Republic'!N$8+France!N$21+Italy!N$16+Spain!N$6+Poland!N$13</f>
        <v>217181.3039240925</v>
      </c>
      <c r="O24" s="31">
        <f>'Czech Republic'!O$8+France!O$21+Italy!O$16+Spain!O$6+Poland!O$13</f>
        <v>220997.51485985468</v>
      </c>
      <c r="P24" s="31">
        <f>'Czech Republic'!P$8+France!P$21+Italy!P$16+Spain!P$6+Poland!P$13</f>
        <v>211956.25122225194</v>
      </c>
      <c r="Q24" s="31">
        <f>'Czech Republic'!Q$8+France!Q$21+Italy!Q$16+Spain!Q$6+Poland!Q$13</f>
        <v>195689.71700772963</v>
      </c>
      <c r="R24" s="31">
        <f>'Czech Republic'!R$8+France!R$21+Italy!R$16+Spain!R$6+Poland!R$13</f>
        <v>144847.80612303846</v>
      </c>
      <c r="S24" s="31">
        <f>'Czech Republic'!S$8+France!S$21+Italy!S$16+Spain!S$6+Poland!S$13</f>
        <v>194156.02082232918</v>
      </c>
      <c r="T24" s="31">
        <f>'Czech Republic'!T$8+France!T$21+Italy!T$16+Spain!T$6+Poland!T$13</f>
        <v>202759</v>
      </c>
      <c r="U24" s="32">
        <f>'Czech Republic'!U$8+France!U$21+Italy!U$16+Spain!U$6+Poland!U$13</f>
        <v>230326.8</v>
      </c>
    </row>
    <row r="25" spans="1:107">
      <c r="A25" s="80" t="s">
        <v>96</v>
      </c>
      <c r="B25" s="81">
        <f t="shared" si="0"/>
        <v>0.34131016615524684</v>
      </c>
      <c r="C25" s="155">
        <v>198253.42607088498</v>
      </c>
      <c r="D25" s="88">
        <v>153408.66580527538</v>
      </c>
      <c r="E25" s="126">
        <f>Germany!E$16+Austria!E$17+Poland!E$14</f>
        <v>272641.0371819961</v>
      </c>
      <c r="F25" s="31">
        <f>Germany!F$16+Austria!F$17+Poland!F$14</f>
        <v>203264.72136083094</v>
      </c>
      <c r="G25" s="31">
        <f>Germany!G$16+Austria!G$17+Poland!G$14</f>
        <v>243304.9525816649</v>
      </c>
      <c r="H25" s="31">
        <f>Germany!H$16+Austria!H$17+Poland!H$14</f>
        <v>336402.36691086693</v>
      </c>
      <c r="I25" s="31">
        <f>Germany!I$16+Austria!I$17+Poland!I$14</f>
        <v>282117.42796092795</v>
      </c>
      <c r="J25" s="31">
        <f>Germany!J$16+Austria!J$17+Poland!J$14</f>
        <v>238780.1</v>
      </c>
      <c r="K25" s="31">
        <f>Germany!K$16+Austria!K$17+Poland!K$14</f>
        <v>211891</v>
      </c>
      <c r="L25" s="31">
        <v>163214</v>
      </c>
      <c r="M25" s="31">
        <v>42137</v>
      </c>
      <c r="N25" s="31">
        <f>Germany!N$16</f>
        <v>60149</v>
      </c>
      <c r="O25" s="31">
        <f>Germany!O$16</f>
        <v>37163</v>
      </c>
      <c r="P25" s="31">
        <f>Germany!P$16</f>
        <v>45161</v>
      </c>
      <c r="Q25" s="31">
        <f>Germany!Q$16</f>
        <v>19737</v>
      </c>
      <c r="R25" s="31">
        <f>Germany!R$16</f>
        <v>30514</v>
      </c>
      <c r="S25" s="31">
        <f>Germany!S$16</f>
        <v>23972</v>
      </c>
      <c r="T25" s="31">
        <f>Germany!T$16</f>
        <v>18137</v>
      </c>
      <c r="U25" s="32">
        <f>Germany!U$16</f>
        <v>21424</v>
      </c>
    </row>
    <row r="26" spans="1:107" s="63" customFormat="1" ht="13.8" thickBot="1">
      <c r="A26" s="80" t="s">
        <v>94</v>
      </c>
      <c r="B26" s="81">
        <f t="shared" si="0"/>
        <v>-1.5659385330298491E-2</v>
      </c>
      <c r="C26" s="155">
        <v>-7954</v>
      </c>
      <c r="D26" s="88">
        <v>-6988.3279999999941</v>
      </c>
      <c r="E26" s="126">
        <f>France!E$19+France!E$20+Italy!E$17+Switzerland!E$12</f>
        <v>40493</v>
      </c>
      <c r="F26" s="31">
        <f>France!F$19+France!F$20+Italy!F$17+Switzerland!F$12</f>
        <v>41137.183000000005</v>
      </c>
      <c r="G26" s="31">
        <f>France!G$19+France!G$20+Italy!G$17+Switzerland!G$12</f>
        <v>37276.417000000001</v>
      </c>
      <c r="H26" s="31">
        <f>France!H$19+France!H$20+Italy!H$17+Switzerland!H$12</f>
        <v>41878.092000000004</v>
      </c>
      <c r="I26" s="31">
        <f>France!I$19+France!I$20+Italy!I$17+Switzerland!I$12</f>
        <v>35641.144</v>
      </c>
      <c r="J26" s="31">
        <f>France!J$19+France!J$20+Italy!J$17+Switzerland!J$12</f>
        <v>42748.748999999996</v>
      </c>
      <c r="K26" s="31">
        <f>France!K$19+France!K$20+Italy!K$17+Switzerland!K$12</f>
        <v>33836</v>
      </c>
      <c r="L26" s="31"/>
      <c r="M26" s="31">
        <v>20152</v>
      </c>
      <c r="N26" s="31">
        <f>France!N$19+France!N$20+Italy!N$17+Switzerland!N$12</f>
        <v>36710.199999999997</v>
      </c>
      <c r="O26" s="31">
        <f>France!O$19+France!O$20+Italy!O$17+Switzerland!O$12</f>
        <v>35564.199999999997</v>
      </c>
      <c r="P26" s="31">
        <f>France!P$19+France!P$20+Italy!P$17+Switzerland!P$12</f>
        <v>36167</v>
      </c>
      <c r="Q26" s="31">
        <f>France!Q$19+France!Q$20+Italy!Q$17+Switzerland!Q$12</f>
        <v>57744</v>
      </c>
      <c r="R26" s="31">
        <f>France!R$19+France!R$20+Italy!R$17+Switzerland!R$12</f>
        <v>5552</v>
      </c>
      <c r="S26" s="31">
        <f>France!S$19+France!S$20+Italy!S$17+Switzerland!S$12</f>
        <v>35154.807769181032</v>
      </c>
      <c r="T26" s="31">
        <f>France!T$19+France!T$20+Italy!T$17+Switzerland!T$12</f>
        <v>33059</v>
      </c>
      <c r="U26" s="32">
        <f>France!U$19+France!U$20+Italy!U$17+Switzerland!U$12</f>
        <v>31754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</row>
    <row r="27" spans="1:107">
      <c r="A27" s="80" t="s">
        <v>87</v>
      </c>
      <c r="B27" s="81">
        <f t="shared" si="0"/>
        <v>6.7952148243150615E-2</v>
      </c>
      <c r="C27" s="155">
        <v>94129</v>
      </c>
      <c r="D27" s="88">
        <v>89118</v>
      </c>
      <c r="E27" s="126">
        <f>'Czech Republic'!E$9+Germany!E$17+Poland!E$15</f>
        <v>96592</v>
      </c>
      <c r="F27" s="31">
        <f>'Czech Republic'!F$9+Germany!F$17+Poland!F$15</f>
        <v>90446</v>
      </c>
      <c r="G27" s="31">
        <f>'Czech Republic'!G$9+Germany!G$17+Poland!G$15</f>
        <v>101262</v>
      </c>
      <c r="H27" s="31">
        <f>'Czech Republic'!H$9+Germany!H$17+Poland!H$15</f>
        <v>122754</v>
      </c>
      <c r="I27" s="31">
        <f>'Czech Republic'!I$9+Germany!I$17+Poland!I$15</f>
        <v>144096</v>
      </c>
      <c r="J27" s="31">
        <f>'Czech Republic'!J$9+Germany!J$17+Poland!J$15</f>
        <v>172645</v>
      </c>
      <c r="K27" s="31">
        <f>'Czech Republic'!K$9+Germany!K$17+Poland!K$15</f>
        <v>152074</v>
      </c>
      <c r="L27" s="31">
        <v>234358</v>
      </c>
      <c r="M27" s="31">
        <v>174018</v>
      </c>
      <c r="N27" s="31">
        <f>'Czech Republic'!N$9+Germany!N$17+Poland!N$15</f>
        <v>216695</v>
      </c>
      <c r="O27" s="31">
        <f>'Czech Republic'!O$9+Germany!O$17+Poland!O$15</f>
        <v>215402</v>
      </c>
      <c r="P27" s="31">
        <f>'Czech Republic'!P$9+Germany!P$17+Poland!P$15</f>
        <v>215557</v>
      </c>
      <c r="Q27" s="31">
        <f>'Czech Republic'!Q$9+Germany!Q$17+Poland!Q$15</f>
        <v>202948</v>
      </c>
      <c r="R27" s="31">
        <f>'Czech Republic'!R$9+Germany!R$17+Poland!R$15</f>
        <v>175866</v>
      </c>
      <c r="S27" s="31">
        <f>'Czech Republic'!S$9+Germany!S$17+Poland!S$15</f>
        <v>150259</v>
      </c>
      <c r="T27" s="31">
        <f>'Czech Republic'!T$9+Germany!T$17+Poland!T$15</f>
        <v>73707</v>
      </c>
      <c r="U27" s="32">
        <f>'Czech Republic'!U$9+Germany!U$17+Poland!U$15</f>
        <v>106428</v>
      </c>
    </row>
    <row r="28" spans="1:107">
      <c r="A28" s="80" t="s">
        <v>19</v>
      </c>
      <c r="B28" s="81" t="str">
        <f t="shared" si="0"/>
        <v/>
      </c>
      <c r="C28" s="155">
        <v>0</v>
      </c>
      <c r="D28" s="88">
        <v>0</v>
      </c>
      <c r="E28" s="126">
        <f>Italy!E$18</f>
        <v>0</v>
      </c>
      <c r="F28" s="31">
        <f>Italy!F$18</f>
        <v>0</v>
      </c>
      <c r="G28" s="31">
        <f>Italy!G$18</f>
        <v>0</v>
      </c>
      <c r="H28" s="31">
        <f>Italy!H$18</f>
        <v>0</v>
      </c>
      <c r="I28" s="31">
        <f>Italy!I$18</f>
        <v>0</v>
      </c>
      <c r="J28" s="31">
        <f>Italy!J$18</f>
        <v>0</v>
      </c>
      <c r="K28" s="31">
        <f>Italy!K$18</f>
        <v>0</v>
      </c>
      <c r="L28" s="31">
        <v>4177</v>
      </c>
      <c r="M28" s="31">
        <v>4407</v>
      </c>
      <c r="N28" s="31">
        <f>Italy!N$18</f>
        <v>8865.6</v>
      </c>
      <c r="O28" s="31">
        <f>Italy!O$18</f>
        <v>8597.4</v>
      </c>
      <c r="P28" s="31">
        <f>Italy!P$18</f>
        <v>10762</v>
      </c>
      <c r="Q28" s="31">
        <f>Italy!Q$18</f>
        <v>7130</v>
      </c>
      <c r="R28" s="31">
        <f>Italy!R$18</f>
        <v>3342.2323308183804</v>
      </c>
      <c r="S28" s="31">
        <f>Italy!S$18</f>
        <v>8859.517415794433</v>
      </c>
      <c r="T28" s="31">
        <f>Italy!T$18</f>
        <v>8884</v>
      </c>
      <c r="U28" s="32">
        <f>Italy!U$18</f>
        <v>5689.08</v>
      </c>
    </row>
    <row r="29" spans="1:107">
      <c r="A29" s="80" t="s">
        <v>33</v>
      </c>
      <c r="B29" s="81" t="str">
        <f t="shared" si="0"/>
        <v/>
      </c>
      <c r="C29" s="155">
        <v>-6</v>
      </c>
      <c r="D29" s="88">
        <v>0</v>
      </c>
      <c r="E29" s="126">
        <f>'Czech Republic'!E$10+UK!E$9+Poland!E$16+Denmark!E$17</f>
        <v>0</v>
      </c>
      <c r="F29" s="31">
        <f>'Czech Republic'!F$10+UK!F$9+Poland!F$16+Denmark!F$17</f>
        <v>0</v>
      </c>
      <c r="G29" s="31">
        <f>'Czech Republic'!G$10+UK!G$9+Poland!G$16+Denmark!G$17</f>
        <v>0</v>
      </c>
      <c r="H29" s="31">
        <f>'Czech Republic'!H$10+UK!H$9+Poland!H$16+Denmark!H$17</f>
        <v>34</v>
      </c>
      <c r="I29" s="31">
        <f>'Czech Republic'!I$10+UK!I$9+Poland!I$16+Denmark!I$17</f>
        <v>32</v>
      </c>
      <c r="J29" s="31">
        <f>'Czech Republic'!J$10+UK!J$9+Poland!J$16+Denmark!J$17</f>
        <v>319</v>
      </c>
      <c r="K29" s="31">
        <f>'Czech Republic'!K$10+UK!K$9+Poland!K$16+Denmark!K$17</f>
        <v>102</v>
      </c>
      <c r="L29" s="31">
        <v>44</v>
      </c>
      <c r="M29" s="31">
        <v>35</v>
      </c>
      <c r="N29" s="31">
        <f>'Czech Republic'!N$10+UK!N$9+Poland!N$16+Denmark!N$17</f>
        <v>76</v>
      </c>
      <c r="O29" s="31">
        <f>'Czech Republic'!O$10+UK!O$9+Poland!O$16+Denmark!O$17</f>
        <v>109</v>
      </c>
      <c r="P29" s="31">
        <f>'Czech Republic'!P$10+UK!P$9+Poland!P$16+Denmark!P$17</f>
        <v>202</v>
      </c>
      <c r="Q29" s="31">
        <f>'Czech Republic'!Q$10+UK!Q$9+Poland!Q$16+Denmark!Q$17</f>
        <v>131</v>
      </c>
      <c r="R29" s="31">
        <f>'Czech Republic'!R$10+UK!R$9+Poland!R$16+Denmark!R$17</f>
        <v>585</v>
      </c>
      <c r="S29" s="31">
        <f>'Czech Republic'!S$10+UK!S$9+Poland!S$16+Denmark!S$17</f>
        <v>168</v>
      </c>
      <c r="T29" s="31">
        <f>'Czech Republic'!T$10+UK!T$9+Poland!T$16+Denmark!T$17</f>
        <v>124</v>
      </c>
      <c r="U29" s="32">
        <f>'Czech Republic'!U$10+UK!U$9+Poland!U$16+Denmark!U$17</f>
        <v>5241</v>
      </c>
    </row>
    <row r="30" spans="1:107">
      <c r="A30" s="80" t="s">
        <v>97</v>
      </c>
      <c r="B30" s="81">
        <f t="shared" si="0"/>
        <v>0.492889988572416</v>
      </c>
      <c r="C30" s="155">
        <v>7153.2465753424622</v>
      </c>
      <c r="D30" s="88">
        <v>-16190.260273972599</v>
      </c>
      <c r="E30" s="126">
        <f>Austria!E$6+Denmark!E$18+France!E$2+France!E$24+France!E$17+France!E$15+France!E$13+Switzerland!E$17+UK!E$10+Germany!E$19+Netherlands!E$6</f>
        <v>175611.24657534246</v>
      </c>
      <c r="F30" s="31">
        <f>Austria!F$6+Denmark!F$18+France!F$2+France!F$24+France!F$17+France!F$15+France!F$13+Switzerland!F$17+UK!F$10+Germany!F$19+Netherlands!F$6</f>
        <v>117631.7397260274</v>
      </c>
      <c r="G30" s="31">
        <f>Austria!G$6+Denmark!G$18+France!G$2+France!G$24+France!G$17+France!G$15+France!G$13+Switzerland!G$17+UK!G$10+Germany!G$19+Netherlands!G$6</f>
        <v>120724.83561643836</v>
      </c>
      <c r="H30" s="31">
        <f>Austria!H$6+Denmark!H$18+France!H$2+France!H$24+France!H$17+France!H$15+France!H$13+Switzerland!H$17+UK!H$10+Germany!H$19+Netherlands!H$6</f>
        <v>147474.88888888888</v>
      </c>
      <c r="I30" s="31">
        <f>Austria!I$6+Denmark!I$18+France!I$2+France!I$24+France!I$17+France!I$15+France!I$13+Switzerland!I$17+UK!I$10+Germany!I$19+Netherlands!I$6</f>
        <v>146647.05555555556</v>
      </c>
      <c r="J30" s="31">
        <f>Austria!J$6+Denmark!J$18+France!J$2+France!J$24+France!J$17+France!J$15+France!J$13+Switzerland!J$17+UK!J$10+Germany!J$19+Netherlands!J$6</f>
        <v>141119.75</v>
      </c>
      <c r="K30" s="31">
        <f>Austria!K$6+Denmark!K$18+France!K$2+France!K$24+France!K$17+France!K$15+France!K$13+Switzerland!K$17+UK!K$10+Germany!K$19+Netherlands!K$6</f>
        <v>139700</v>
      </c>
      <c r="L30" s="31">
        <v>141569.75899999999</v>
      </c>
      <c r="M30" s="31">
        <v>94415</v>
      </c>
      <c r="N30" s="31">
        <f>Austria!N$6+Denmark!N$18+France!N$2+France!N$24+France!N$17+France!N$15+France!N$13+Switzerland!N$17+UK!N$10+Germany!N$19+Netherlands!N$6</f>
        <v>113524.52</v>
      </c>
      <c r="O30" s="31">
        <f>Austria!O$6+Denmark!O$18+France!O$2+France!O$24+France!O$17+France!O$15+France!O$13+Switzerland!O$17+UK!O$10+Germany!O$19+Netherlands!O$6</f>
        <v>120850.72</v>
      </c>
      <c r="P30" s="31">
        <f>Austria!P$6+Denmark!P$18+France!P$2+France!P$24+France!P$17+France!P$15+France!P$13+Switzerland!P$17+UK!P$10+Germany!P$19+Netherlands!P$6</f>
        <v>126384.95999999999</v>
      </c>
      <c r="Q30" s="31">
        <f>Austria!Q$6+Denmark!Q$18+France!Q$2+France!Q$24+France!Q$17+France!Q$15+France!Q$13+Switzerland!Q$17+UK!Q$10+Germany!Q$19+Netherlands!Q$6</f>
        <v>117736</v>
      </c>
      <c r="R30" s="31">
        <f>Austria!R$6+Denmark!R$18+France!R$2+France!R$24+France!R$17+France!R$15+France!R$13+Switzerland!R$17+UK!R$10+Germany!R$19+Netherlands!R$6</f>
        <v>65561</v>
      </c>
      <c r="S30" s="31">
        <f>Austria!S$6+Denmark!S$18+France!S$2+France!S$24+France!S$17+France!S$15+France!S$13+Switzerland!S$17+UK!S$10+Germany!S$19</f>
        <v>70342</v>
      </c>
      <c r="T30" s="31">
        <f>Austria!T$6+Denmark!T$18+France!T$2+France!T$24+France!T$17+France!T$15+France!T$13+Switzerland!T$17+UK!T$10+Germany!T$19</f>
        <v>65178</v>
      </c>
      <c r="U30" s="32">
        <f>Austria!U$6+Denmark!U$18+France!U$2+France!U$24+France!U$17+France!U$15+France!U$13+Switzerland!U$17+UK!U$10+Germany!U$19</f>
        <v>50140</v>
      </c>
    </row>
    <row r="31" spans="1:107" ht="13.8" thickBot="1">
      <c r="A31" s="80" t="s">
        <v>5</v>
      </c>
      <c r="B31" s="81">
        <f t="shared" si="0"/>
        <v>0.15258899500445847</v>
      </c>
      <c r="C31" s="155">
        <v>167466.29724655871</v>
      </c>
      <c r="D31" s="88">
        <v>179017.96992632846</v>
      </c>
      <c r="E31" s="126">
        <f>Austria!E$2+Austria!E$15+Austria!E$18+Austria!E$19+Austria!E$20+Belgium!E$9+'Czech Republic'!E$11+Denmark!E$3+Denmark!E$15+Denmark!E$12+Denmark!E$19+Germany!E$12+Germany!E$18+Germany!E$20+Italy!E$19+Spain!E$7+Switzerland!E$7+Switzerland!E$13+Switzerland!E$15+Switzerland!E$16+Switzerland!E$18+Netherlands!E$7+UK!E$11+France!E$3+France!E$7+France!E$22+France!E$23+France!E$25+Poland!E$10+Poland!E$17</f>
        <v>756920.36835766979</v>
      </c>
      <c r="F31" s="35">
        <f>Austria!F$2+Austria!F$15+Austria!F$18+Austria!F$19+Austria!F$20+Belgium!F$9+'Czech Republic'!F$11+Denmark!F$3+Denmark!F$15+Denmark!F$12+Denmark!F$19+Germany!F$12+Germany!F$18+Germany!F$20+Italy!F$19+Spain!F$7+Switzerland!F$7+Switzerland!F$13+Switzerland!F$15+Switzerland!F$16+Switzerland!F$18+Netherlands!F$7+UK!F$11+France!F$3+France!F$7+France!F$22+France!F$23+France!F$25+Poland!F$10+Poland!F$17</f>
        <v>656713.16630499484</v>
      </c>
      <c r="G31" s="35">
        <f>Austria!G$2+Austria!G$15+Austria!G$18+Austria!G$19+Austria!G$20+Belgium!G$9+'Czech Republic'!G$11+Denmark!G$3+Denmark!G$15+Denmark!G$12+Denmark!G$19+Germany!G$12+Germany!G$18+Germany!G$20+Italy!G$19+Spain!G$7+Switzerland!G$7+Switzerland!G$13+Switzerland!G$15+Switzerland!G$16+Switzerland!G$18+Netherlands!G$7+UK!G$11+France!G$3+France!G$7+France!G$22+France!G$23+France!G$25+Poland!G$10+Poland!G$17</f>
        <v>647983.96806262317</v>
      </c>
      <c r="H31" s="35">
        <f>Austria!H$2+Austria!H$15+Austria!H$18+Austria!H$19+Austria!H$20+Belgium!H$9+'Czech Republic'!H$11+Denmark!H$3+Denmark!H$15+Denmark!H$12+Denmark!H$19+Germany!H$12+Germany!H$18+Germany!H$20+Italy!H$19+Spain!H$7+Switzerland!H$7+Switzerland!H$13+Switzerland!H$15+Switzerland!H$16+Switzerland!H$18+Netherlands!H$7+UK!H$11+France!H$3+France!H$7+France!H$22+France!H$23+France!H$25+Poland!H$10+Poland!H$17</f>
        <v>543094.72288422962</v>
      </c>
      <c r="I31" s="35">
        <f>Austria!I$2+Austria!I$15+Austria!I$18+Austria!I$19+Austria!I$20+Belgium!I$9+'Czech Republic'!I$11+Denmark!I$3+Denmark!I$15+Denmark!I$12+Denmark!I$19+Germany!I$12+Germany!I$18+Germany!I$20+Italy!I$19+Spain!I$7+Switzerland!I$7+Switzerland!I$13+Switzerland!I$15+Switzerland!I$16+Switzerland!I$18+Netherlands!I$7+UK!I$11+France!I$3+France!I$7+France!I$22+France!I$23+France!I$25+Poland!I$10+Poland!I$17</f>
        <v>580385.29243356304</v>
      </c>
      <c r="J31" s="35">
        <f>Austria!J$2+Austria!J$15+Austria!J$18+Austria!J$19+Austria!J$20+Belgium!J$9+'Czech Republic'!J$11+Denmark!J$3+Denmark!J$15+Denmark!J$12+Denmark!J$19+Germany!J$12+Germany!J$18+Germany!J$20+Italy!J$19+Spain!J$7+Switzerland!J$7+Switzerland!J$13+Switzerland!J$15+Switzerland!J$16+Switzerland!J$18+Netherlands!J$7+UK!J$11+France!J$3+France!J$7+France!J$22+France!J$23+France!J$25+Poland!J$10+Poland!J$17</f>
        <v>678759.82</v>
      </c>
      <c r="K31" s="35">
        <f>Austria!K$2+Austria!K$15+Austria!K$18+Austria!K$19+Austria!K$20+Belgium!K$9+'Czech Republic'!K$11+Denmark!K$3+Denmark!K$15+Denmark!K$12+Denmark!K$19+Germany!K$12+Germany!K$18+Germany!K$20+Italy!K$19+Spain!K$7+Switzerland!K$7+Switzerland!K$13+Switzerland!K$15+Switzerland!K$16+Switzerland!K$18+Netherlands!K$7+UK!K$11+France!K$3+France!K$7+France!K$22+France!K$23+France!K$25+Poland!K$10+Poland!K$17</f>
        <v>390290.52</v>
      </c>
      <c r="L31" s="35">
        <v>686243.75800000003</v>
      </c>
      <c r="M31" s="35">
        <v>381101</v>
      </c>
      <c r="N31" s="35">
        <f>Austria!N$2++Austria!N$15+Austria!N$18+Austria!N$19+Austria!N$20+Belgium!N$9+'Czech Republic'!N$11+Denmark!N$3+Denmark!N$15+Denmark!N$12+Denmark!N$19+Germany!N$12+Germany!N$18+Germany!N$20+Italy!N$19+Spain!N$7+Switzerland!N$7+Switzerland!N$13+Switzerland!N$15+Switzerland!N$16+Switzerland!N$18+Netherlands!N$7+UK!N$11+France!N$3+France!N$7+France!N$22+France!N$23+France!N$25+Poland!N$10+Poland!N$17</f>
        <v>536201.66</v>
      </c>
      <c r="O31" s="31">
        <f>Austria!O$2++Austria!O$15+Austria!O$18+Austria!O$19+Austria!O$20+Belgium!O$9+'Czech Republic'!O$11+Denmark!O$3+Denmark!O$15+Denmark!O$12+Denmark!O$19+Germany!O$12+Germany!O$18+Germany!O$20+Italy!O$19+Spain!O$7+Switzerland!O$7+Switzerland!O$13+Switzerland!O$15+Switzerland!O$16+Switzerland!O$18+Netherlands!O$7+UK!O$11+France!O$3+France!O$7+France!O$22+France!O$23+France!O$25+Poland!O$10+Poland!O$17</f>
        <v>565321.93999999994</v>
      </c>
      <c r="P31" s="31">
        <f>Austria!P$2++Austria!P$15+Austria!P$18+Austria!P$19+Austria!P$20+Belgium!P$9+'Czech Republic'!P$11+Denmark!P$3+Denmark!P$15+Denmark!P$12+Denmark!P$19+Germany!P$12+Germany!P$18+Germany!P$20+Italy!P$19+Spain!P$7+Switzerland!P$7+Switzerland!P$13+Switzerland!P$15+Switzerland!P$16+Switzerland!P$18+Netherlands!P$7+UK!P$11+France!P$3+France!P$7+France!P$22+France!P$23+France!P$25+Poland!P$10+Poland!P$17</f>
        <v>559269.06000000006</v>
      </c>
      <c r="Q31" s="31">
        <f>Austria!Q$2++Austria!Q$15+Austria!Q$18+Austria!Q$19+Austria!Q$20+Belgium!Q$9+'Czech Republic'!Q$11+Denmark!Q$3+Denmark!Q$15+Denmark!Q$12+Denmark!Q$19+Germany!Q$12+Germany!Q$18+Germany!Q$20+Italy!Q$19+Spain!Q$7+Switzerland!Q$7+Switzerland!Q$13+Switzerland!Q$15+Switzerland!Q$16+Switzerland!Q$18+Netherlands!Q$7+UK!Q$11+France!Q$3+France!Q$7+France!Q$22+France!Q$23+France!Q$25+Poland!Q$10+Poland!Q$17</f>
        <v>423989.527</v>
      </c>
      <c r="R31" s="31">
        <f>Austria!R$2++Austria!R$15+Austria!R$18+Austria!R$19+Austria!R$20+Belgium!R$9+'Czech Republic'!R$11+Denmark!R$3+Denmark!R$15+Denmark!R$12+Denmark!R$19+Germany!R$12+Germany!R$18+Germany!R$20+Italy!R$19+Spain!R$7+Switzerland!R$7+Switzerland!R$13+Switzerland!R$15+Switzerland!R$16+Switzerland!R$18+Netherlands!R$7+UK!R$11+France!R$3+France!R$7+France!R$22+France!R$23+France!R$25+Poland!R$10+Poland!R$17</f>
        <v>443930.52622296533</v>
      </c>
      <c r="S31" s="31">
        <f>Austria!S$2++Austria!S$15+Austria!S$18+Austria!S$19+Austria!S$20+Belgium!S$9+'Czech Republic'!S$11+Denmark!S$3+Denmark!S$15+Denmark!S$12+Denmark!S$19+Germany!S$12+Germany!S$18+Germany!S$20+Italy!S$19+Spain!S$7+Switzerland!S$7+Switzerland!S$13+Switzerland!S$15+Switzerland!S$16+Switzerland!S$18+Netherlands!S$7+UK!S$11+France!S$3+France!S$7+France!S$22+France!S$23+France!S$25+Poland!S$10+Poland!S$17</f>
        <v>388707.42268708476</v>
      </c>
      <c r="T31" s="31">
        <f>Austria!T$2++Austria!T$15+Austria!T$18+Austria!T$19+Austria!T$20+Belgium!T$9+'Czech Republic'!T$11+Denmark!T$3+Denmark!T$15+Denmark!T$12+Denmark!T$19+Germany!T$12+Germany!T$18+Germany!T$20+Italy!T$19+Spain!T$7+Switzerland!T$7+Switzerland!T$13+Switzerland!T$15+Switzerland!T$16+Switzerland!T$18+Netherlands!T$7+UK!T$11+France!T$3+France!T$7+France!T$22+France!T$23+France!T$25+Poland!T$10+Poland!T$17</f>
        <v>183360</v>
      </c>
      <c r="U31" s="36">
        <f>Austria!U$2++Austria!U$15+Austria!U$18+Austria!U$19+Austria!U$20+Belgium!U$9+'Czech Republic'!U$11+Denmark!U$3+Denmark!U$15+Denmark!U$12+Denmark!U$19+Germany!U$12+Germany!U$18+Germany!U$20+Italy!U$19+Spain!U$7+Switzerland!U$7+Switzerland!U$13+Switzerland!U$15+Switzerland!U$16+Switzerland!U$18+Netherlands!U$7+UK!U$11+France!U$3+France!U$7+France!U$22+France!U$23+France!U$25+Poland!U$10+Poland!U$17</f>
        <v>275065.56</v>
      </c>
    </row>
    <row r="32" spans="1:107" ht="13.8" thickBot="1">
      <c r="A32" s="79" t="s">
        <v>92</v>
      </c>
      <c r="B32" s="156">
        <f t="shared" si="0"/>
        <v>0.11592109081787111</v>
      </c>
      <c r="C32" s="136">
        <f>SUM(C2:C31)</f>
        <v>1037942.1574292752</v>
      </c>
      <c r="D32" s="89">
        <f>SUM(D2:D31)</f>
        <v>954493.22923744982</v>
      </c>
      <c r="E32" s="137">
        <f t="shared" ref="E32:F32" si="1">SUM(E2:E31)</f>
        <v>4755118.9163209237</v>
      </c>
      <c r="F32" s="50">
        <f t="shared" si="1"/>
        <v>4261160.538542957</v>
      </c>
      <c r="G32" s="50">
        <f t="shared" ref="G32:K32" si="2">SUM(G2:G31)</f>
        <v>4291700.2432244802</v>
      </c>
      <c r="H32" s="50">
        <f t="shared" si="2"/>
        <v>4480825.103626485</v>
      </c>
      <c r="I32" s="50">
        <f t="shared" si="2"/>
        <v>4902786.2553918976</v>
      </c>
      <c r="J32" s="50">
        <f t="shared" si="2"/>
        <v>4592937.2641482325</v>
      </c>
      <c r="K32" s="50">
        <f t="shared" si="2"/>
        <v>4457971.3808436422</v>
      </c>
      <c r="L32" s="50">
        <v>5139720.216</v>
      </c>
      <c r="M32" s="50">
        <v>3548332</v>
      </c>
      <c r="N32" s="50">
        <f>SUM(N2:N31)</f>
        <v>4713530.3434793204</v>
      </c>
      <c r="O32" s="39">
        <f>SUM(O2:O31)</f>
        <v>5074215.5036742818</v>
      </c>
      <c r="P32" s="39">
        <f t="shared" ref="P32:U32" si="3">SUM(P2:P31)</f>
        <v>5150749.5776487812</v>
      </c>
      <c r="Q32" s="39">
        <f t="shared" si="3"/>
        <v>4606679.4703704314</v>
      </c>
      <c r="R32" s="39">
        <f t="shared" si="3"/>
        <v>4016560.0000000005</v>
      </c>
      <c r="S32" s="39">
        <f t="shared" si="3"/>
        <v>4477971</v>
      </c>
      <c r="T32" s="39">
        <f t="shared" si="3"/>
        <v>3774277</v>
      </c>
      <c r="U32" s="40">
        <f t="shared" si="3"/>
        <v>4235523.78</v>
      </c>
    </row>
    <row r="33" spans="1:21">
      <c r="A33" s="26" t="s">
        <v>175</v>
      </c>
    </row>
    <row r="34" spans="1:21" ht="13.8" thickBot="1">
      <c r="B34" s="3"/>
      <c r="C34" s="3"/>
      <c r="D34" s="3"/>
      <c r="E34" s="3"/>
    </row>
    <row r="35" spans="1:21" ht="13.8" thickBot="1">
      <c r="A35" s="27" t="s">
        <v>91</v>
      </c>
      <c r="B35" s="12" t="s">
        <v>169</v>
      </c>
      <c r="C35" s="132" t="s">
        <v>170</v>
      </c>
      <c r="D35" s="133" t="s">
        <v>168</v>
      </c>
      <c r="E35" s="134">
        <v>45992</v>
      </c>
      <c r="F35" s="13">
        <v>45627</v>
      </c>
      <c r="G35" s="13">
        <v>45261</v>
      </c>
      <c r="H35" s="13">
        <v>44896</v>
      </c>
      <c r="I35" s="13">
        <v>44531</v>
      </c>
      <c r="J35" s="13">
        <v>44166</v>
      </c>
      <c r="K35" s="13">
        <v>43800</v>
      </c>
      <c r="L35" s="13">
        <v>43435</v>
      </c>
      <c r="M35" s="13">
        <v>43070</v>
      </c>
      <c r="N35" s="13">
        <v>42705</v>
      </c>
      <c r="O35" s="28">
        <f>O1</f>
        <v>42339</v>
      </c>
      <c r="P35" s="28">
        <f>P1</f>
        <v>41974</v>
      </c>
      <c r="Q35" s="28">
        <v>41609</v>
      </c>
      <c r="R35" s="28">
        <v>41244</v>
      </c>
      <c r="S35" s="28">
        <v>40878</v>
      </c>
      <c r="T35" s="28">
        <v>40513</v>
      </c>
      <c r="U35" s="44">
        <v>40148</v>
      </c>
    </row>
    <row r="36" spans="1:21">
      <c r="A36" s="77" t="s">
        <v>98</v>
      </c>
      <c r="B36" s="78">
        <f t="shared" ref="B36:B44" si="4">IFERROR(((E36-F36)/F36),"")</f>
        <v>-0.33400842439803224</v>
      </c>
      <c r="C36" s="157">
        <v>-8924.1637177166631</v>
      </c>
      <c r="D36" s="47">
        <v>-13451.845178443189</v>
      </c>
      <c r="E36" s="158">
        <f>Italy!E$24</f>
        <v>36437.536123971433</v>
      </c>
      <c r="F36" s="31">
        <f>Italy!F$24</f>
        <v>54711.707263018681</v>
      </c>
      <c r="G36" s="31">
        <f>Italy!G$24</f>
        <v>13541.382354378689</v>
      </c>
      <c r="H36" s="31">
        <f>Italy!H$24</f>
        <v>82474.054799916616</v>
      </c>
      <c r="I36" s="31">
        <f>Italy!I$24</f>
        <v>18506.814974007775</v>
      </c>
      <c r="J36" s="31">
        <f>Italy!J$24</f>
        <v>123603.95069820629</v>
      </c>
      <c r="K36" s="31">
        <f>Italy!K$24</f>
        <v>57060.605919378584</v>
      </c>
      <c r="L36" s="31">
        <v>156648.07633423616</v>
      </c>
      <c r="M36" s="31">
        <v>188252</v>
      </c>
      <c r="N36" s="47">
        <f>Italy!N$24</f>
        <v>160810.63274927204</v>
      </c>
      <c r="O36" s="47">
        <f>Italy!O$24</f>
        <v>190239.85244829967</v>
      </c>
      <c r="P36" s="47">
        <f>Italy!P$24</f>
        <v>195211.58559709601</v>
      </c>
      <c r="Q36" s="47">
        <f>Italy!Q$24</f>
        <v>220635.27677052101</v>
      </c>
      <c r="R36" s="47">
        <f>Italy!R$24</f>
        <v>152771</v>
      </c>
      <c r="S36" s="47">
        <f>Italy!S$24</f>
        <v>263695</v>
      </c>
      <c r="T36" s="47">
        <f>Italy!T$24</f>
        <v>102895</v>
      </c>
      <c r="U36" s="48">
        <f>Italy!U$24</f>
        <v>137083</v>
      </c>
    </row>
    <row r="37" spans="1:21">
      <c r="A37" s="29" t="s">
        <v>36</v>
      </c>
      <c r="B37" s="30">
        <f t="shared" si="4"/>
        <v>0.61022356666053246</v>
      </c>
      <c r="C37" s="159">
        <v>-1026</v>
      </c>
      <c r="D37" s="31">
        <v>-441.48757497742758</v>
      </c>
      <c r="E37" s="125">
        <f>Spain!E$12</f>
        <v>1590</v>
      </c>
      <c r="F37" s="31">
        <f>Spain!F$12</f>
        <v>987.44052249683909</v>
      </c>
      <c r="G37" s="31">
        <f>Spain!G$12</f>
        <v>1307.1817497566828</v>
      </c>
      <c r="H37" s="31">
        <f>Spain!H$12</f>
        <v>1762.8958145679971</v>
      </c>
      <c r="I37" s="31">
        <f>Spain!I$12</f>
        <v>1976.122992945227</v>
      </c>
      <c r="J37" s="31">
        <f>Spain!J$12</f>
        <v>4105.9411879520385</v>
      </c>
      <c r="K37" s="31">
        <f>Spain!K$12</f>
        <v>5554.0069952975846</v>
      </c>
      <c r="L37" s="31">
        <v>3760</v>
      </c>
      <c r="M37" s="31">
        <v>5055</v>
      </c>
      <c r="N37" s="31">
        <f>Spain!N$12</f>
        <v>5129.3937147215702</v>
      </c>
      <c r="O37" s="31">
        <f>Spain!O$12</f>
        <v>3983.7321032926498</v>
      </c>
      <c r="P37" s="31">
        <f>Spain!P$12</f>
        <v>4652</v>
      </c>
      <c r="Q37" s="31">
        <f>Spain!Q$12</f>
        <v>8768.2067935227915</v>
      </c>
      <c r="R37" s="31">
        <f>Spain!R$12</f>
        <v>4190</v>
      </c>
      <c r="S37" s="31">
        <f>Spain!S$12</f>
        <v>9131</v>
      </c>
      <c r="T37" s="31">
        <f>Spain!T$12</f>
        <v>7869</v>
      </c>
      <c r="U37" s="32">
        <f>Spain!U$12</f>
        <v>7480</v>
      </c>
    </row>
    <row r="38" spans="1:21">
      <c r="A38" s="29" t="s">
        <v>37</v>
      </c>
      <c r="B38" s="30">
        <f t="shared" si="4"/>
        <v>0.11278018543137626</v>
      </c>
      <c r="C38" s="159">
        <v>-833</v>
      </c>
      <c r="D38" s="31">
        <v>-655.29823358311614</v>
      </c>
      <c r="E38" s="125">
        <f>Spain!E$13</f>
        <v>3725</v>
      </c>
      <c r="F38" s="31">
        <f>Spain!F$13</f>
        <v>3347.4715390946508</v>
      </c>
      <c r="G38" s="31">
        <f>Spain!G$13</f>
        <v>2959.8792187082263</v>
      </c>
      <c r="H38" s="31">
        <f>Spain!H$13</f>
        <v>3407.5216258359678</v>
      </c>
      <c r="I38" s="31">
        <f>Spain!I$13</f>
        <v>2950.3223091349842</v>
      </c>
      <c r="J38" s="31">
        <f>Spain!J$13</f>
        <v>7727.3158637739771</v>
      </c>
      <c r="K38" s="31">
        <f>Spain!K$13</f>
        <v>6609.2170484000571</v>
      </c>
      <c r="L38" s="31">
        <v>8062</v>
      </c>
      <c r="M38" s="31">
        <v>12358</v>
      </c>
      <c r="N38" s="31">
        <f>Spain!N$13</f>
        <v>13998.002729425983</v>
      </c>
      <c r="O38" s="31">
        <f>Spain!O$13</f>
        <v>9967.9743692551929</v>
      </c>
      <c r="P38" s="31">
        <f>Spain!P$13</f>
        <v>14886</v>
      </c>
      <c r="Q38" s="31">
        <f>Spain!Q$13</f>
        <v>15053.32890977768</v>
      </c>
      <c r="R38" s="31">
        <f>Spain!R$13</f>
        <v>11631</v>
      </c>
      <c r="S38" s="31">
        <f>Spain!S$13</f>
        <v>19399</v>
      </c>
      <c r="T38" s="31">
        <f>Spain!T$13</f>
        <v>25304</v>
      </c>
      <c r="U38" s="32">
        <f>Spain!U$13</f>
        <v>23226</v>
      </c>
    </row>
    <row r="39" spans="1:21">
      <c r="A39" s="29" t="s">
        <v>6</v>
      </c>
      <c r="B39" s="30">
        <f t="shared" si="4"/>
        <v>0.22737650030054699</v>
      </c>
      <c r="C39" s="159">
        <v>3583.3075036361115</v>
      </c>
      <c r="D39" s="31">
        <v>5279.9034286482492</v>
      </c>
      <c r="E39" s="125">
        <f>Belgium!E$15+Denmark!E$24+Italy!E$25+Poland!E$22+Spain!E$14+Switzerland!E$24+Netherlands!E$12+UK!E$16+'Czech Republic'!E$16+France!E$32</f>
        <v>586956.21832629154</v>
      </c>
      <c r="F39" s="31">
        <f>Belgium!F$15+Denmark!F$24+Italy!F$25+Poland!F$22+Spain!F$14+Switzerland!F$24+Netherlands!F$12+UK!F$16+'Czech Republic'!F$16+France!F$32</f>
        <v>478220.18604932056</v>
      </c>
      <c r="G39" s="31">
        <f>Belgium!G$15+Denmark!G$24+Italy!G$25+Poland!G$22+Spain!G$14+Switzerland!G$24+Netherlands!G$12+UK!G$16+'Czech Republic'!G$16+France!G$32</f>
        <v>563848.66723735898</v>
      </c>
      <c r="H39" s="31">
        <f>Belgium!H$15+Denmark!H$24+Italy!H$25+Poland!H$22+Spain!H$14+Switzerland!H$24+Netherlands!H$12+UK!H$16+'Czech Republic'!H$16+France!H$32</f>
        <v>513037.87172097323</v>
      </c>
      <c r="I39" s="31">
        <f>Belgium!I$15+Denmark!I$24+Italy!I$25+Poland!I$22+Spain!I$14+Switzerland!I$24+Netherlands!I$12+UK!I$16+'Czech Republic'!I$16+France!I$32</f>
        <v>535861.46377510042</v>
      </c>
      <c r="J39" s="31">
        <f>Belgium!J$15+Denmark!J$24+Italy!J$25+Poland!J$22+Spain!J$14+Switzerland!J$24+Netherlands!J$12+UK!J$16+'Czech Republic'!J$16+France!J$32</f>
        <v>596767.71917381836</v>
      </c>
      <c r="K39" s="31">
        <f>Belgium!K$15+Denmark!K$24+Italy!K$25+Poland!K$22+Spain!K$14+Switzerland!K$24+Netherlands!K$12+UK!K$16+'Czech Republic'!K$16+France!K$32</f>
        <v>494065.3761377068</v>
      </c>
      <c r="L39" s="31">
        <v>587609.97244912328</v>
      </c>
      <c r="M39" s="31">
        <v>502694</v>
      </c>
      <c r="N39" s="31">
        <f>Belgium!N$15+Denmark!N$24+Italy!N$25+Poland!N$22+Spain!N$14+Switzerland!N$24+Netherlands!N$12+UK!N$16+'Czech Republic'!N$16+France!N$32</f>
        <v>527920.45931730082</v>
      </c>
      <c r="O39" s="31">
        <f>Belgium!O$15+Denmark!O$24+Italy!O$25+Poland!O$22+Spain!O$14+Switzerland!O$24+Netherlands!O$12+UK!O$16+'Czech Republic'!O$16+France!O$32</f>
        <v>581276.45752550242</v>
      </c>
      <c r="P39" s="31">
        <f>Belgium!P$15+Denmark!P$24+Italy!P$25+Poland!P$22+Spain!P$14+Switzerland!P$24+Netherlands!P$12+UK!P$16+'Czech Republic'!P$16+France!P$32</f>
        <v>554713.16169807711</v>
      </c>
      <c r="Q39" s="31">
        <f>Belgium!Q$15+Denmark!Q$24+Italy!Q$25+Poland!Q$22+Spain!Q$14+Switzerland!Q$24+Netherlands!Q$12+UK!Q$16+'Czech Republic'!Q$16+France!Q$32</f>
        <v>563808.41709903686</v>
      </c>
      <c r="R39" s="31">
        <f>Belgium!R$15+Denmark!R$24+Italy!R$25+Poland!R$22+Spain!R$14+Switzerland!R$24+Netherlands!R$12+UK!R$16+'Czech Republic'!R$16+France!R$32</f>
        <v>365714</v>
      </c>
      <c r="S39" s="31">
        <f>Belgium!S$15+Denmark!S$24+Italy!S$25+Poland!S$22+Spain!S$14+Switzerland!S$24+Netherlands!S$12+UK!S$16+'Czech Republic'!S$16+France!S$32</f>
        <v>548848</v>
      </c>
      <c r="T39" s="31">
        <f>Belgium!T$15+Denmark!T$24+Italy!T$25+Poland!T$22+Spain!T$14+Switzerland!T$24+Netherlands!T$12+UK!T$16+'Czech Republic'!T$16+France!T$32</f>
        <v>432893</v>
      </c>
      <c r="U39" s="32">
        <f>Belgium!U$15+Denmark!U$24+Italy!U$25+Poland!U$22+Spain!U$14+Switzerland!U$24+Netherlands!U$12+UK!U$16+'Czech Republic'!U$16+France!U$32</f>
        <v>466108</v>
      </c>
    </row>
    <row r="40" spans="1:21">
      <c r="A40" s="29" t="s">
        <v>93</v>
      </c>
      <c r="B40" s="30">
        <f t="shared" si="4"/>
        <v>0.39759545855607437</v>
      </c>
      <c r="C40" s="159">
        <v>-5636.3162523605024</v>
      </c>
      <c r="D40" s="31">
        <v>-3355.4975237714843</v>
      </c>
      <c r="E40" s="125">
        <f>Belgium!E$16+Italy!E$26+Poland!E$23+Netherlands!E$13+UK!E$17+France!E$33+Denmark!E$25</f>
        <v>18023.339104804942</v>
      </c>
      <c r="F40" s="31">
        <f>Belgium!F$16+Italy!F$26+Poland!F$23+Netherlands!F$13+UK!F$17+France!F$33+Denmark!F$25</f>
        <v>12895.962844230871</v>
      </c>
      <c r="G40" s="31">
        <f>Belgium!G$16+Italy!G$26+Poland!G$23+Netherlands!G$13+UK!G$17+France!G$33+Denmark!G$25</f>
        <v>15103.25275369122</v>
      </c>
      <c r="H40" s="31">
        <f>Belgium!H$16+Italy!H$26+Poland!H$23+Netherlands!H$13+UK!H$17+France!H$33+Denmark!H$25</f>
        <v>19225.736450171986</v>
      </c>
      <c r="I40" s="31">
        <f>Belgium!I$16+Italy!I$26+Poland!I$23+Netherlands!I$13+UK!I$17+France!I$33+Denmark!I$25</f>
        <v>17229.250824851362</v>
      </c>
      <c r="J40" s="31">
        <f>Belgium!J$16+Italy!J$26+Poland!J$23+Netherlands!J$13+UK!J$17+France!J$33+Denmark!J$25</f>
        <v>32637.58546560783</v>
      </c>
      <c r="K40" s="31">
        <f>Belgium!K$16+Italy!K$26+Poland!K$23+Netherlands!K$13+UK!K$17+France!K$33+Denmark!K$25</f>
        <v>22247.542484624599</v>
      </c>
      <c r="L40" s="31">
        <v>33866.57350152736</v>
      </c>
      <c r="M40" s="31">
        <v>20284</v>
      </c>
      <c r="N40" s="31">
        <f>Belgium!N$16+Italy!N$26+Poland!N$23+Netherlands!N$13+UK!N$17+France!N$33+Denmark!N$25</f>
        <v>31568.265755905206</v>
      </c>
      <c r="O40" s="31">
        <f>Belgium!O$16+Italy!O$26+Poland!O$23+Netherlands!O$13+UK!O$17+France!O$33+Denmark!O$25</f>
        <v>42138.194743571272</v>
      </c>
      <c r="P40" s="31">
        <f>Belgium!P$16+Italy!P$26+Poland!P$23+Netherlands!P$13+UK!P$17+France!P$33+Denmark!P$25</f>
        <v>42521.154609017001</v>
      </c>
      <c r="Q40" s="31">
        <f>Belgium!Q$16+Italy!Q$26+Poland!Q$23+Netherlands!Q$13+UK!Q$17+France!Q$33+Denmark!Q$25</f>
        <v>47201.082102014203</v>
      </c>
      <c r="R40" s="31">
        <f>Belgium!R$16+Italy!R$26+Poland!R$23+Netherlands!R$13+UK!R$17+France!R$33+Denmark!R$25</f>
        <v>22279</v>
      </c>
      <c r="S40" s="31">
        <f>Belgium!S$16+Italy!S$26+Poland!S$23+Netherlands!S$13+UK!S$17+France!S$33+Denmark!S$25</f>
        <v>47139</v>
      </c>
      <c r="T40" s="31">
        <f>Belgium!T$16+Italy!T$26+Poland!T$23+Netherlands!T$13+UK!T$17+France!T$33+Denmark!T$25</f>
        <v>37578</v>
      </c>
      <c r="U40" s="32">
        <f>Belgium!U$16+Italy!U$26+Poland!U$23+Netherlands!U$13+UK!U$17+France!U$33+Denmark!U$25</f>
        <v>48882</v>
      </c>
    </row>
    <row r="41" spans="1:21">
      <c r="A41" s="29" t="s">
        <v>28</v>
      </c>
      <c r="B41" s="30">
        <f t="shared" si="4"/>
        <v>-0.24574422589636871</v>
      </c>
      <c r="C41" s="159">
        <v>-5385.036662153434</v>
      </c>
      <c r="D41" s="31">
        <v>-10027.625361116048</v>
      </c>
      <c r="E41" s="125">
        <f>Italy!E$27</f>
        <v>7589.9991789854339</v>
      </c>
      <c r="F41" s="31">
        <f>Italy!F$27</f>
        <v>10062.898342416405</v>
      </c>
      <c r="G41" s="31">
        <f>Italy!G$27</f>
        <v>3944.2415699282237</v>
      </c>
      <c r="H41" s="31">
        <f>Italy!H$27</f>
        <v>15018.949322369213</v>
      </c>
      <c r="I41" s="31">
        <f>Italy!I$27</f>
        <v>5142.4802740449477</v>
      </c>
      <c r="J41" s="31">
        <f>Italy!J$27</f>
        <v>25656.289950113969</v>
      </c>
      <c r="K41" s="31">
        <f>Italy!K$27</f>
        <v>8438.3165861742236</v>
      </c>
      <c r="L41" s="31">
        <v>24119.809259286663</v>
      </c>
      <c r="M41" s="31">
        <v>25577</v>
      </c>
      <c r="N41" s="31">
        <f>Italy!N$27</f>
        <v>21392</v>
      </c>
      <c r="O41" s="31">
        <f>Italy!O$27</f>
        <v>30103</v>
      </c>
      <c r="P41" s="31">
        <f>Italy!P$27</f>
        <v>23589.152289198999</v>
      </c>
      <c r="Q41" s="31">
        <f>Italy!Q$27</f>
        <v>39673.985172242901</v>
      </c>
      <c r="R41" s="31">
        <f>Italy!R$27</f>
        <v>24182</v>
      </c>
      <c r="S41" s="31">
        <f>Italy!S$27</f>
        <v>41960</v>
      </c>
      <c r="T41" s="31">
        <f>Italy!T$27</f>
        <v>21370</v>
      </c>
      <c r="U41" s="32">
        <f>Italy!U$27</f>
        <v>38019</v>
      </c>
    </row>
    <row r="42" spans="1:21">
      <c r="A42" s="29" t="s">
        <v>147</v>
      </c>
      <c r="B42" s="160" t="str">
        <f t="shared" si="4"/>
        <v/>
      </c>
      <c r="C42" s="161">
        <v>-90730</v>
      </c>
      <c r="D42" s="73">
        <v>-83563</v>
      </c>
      <c r="E42" s="123">
        <f>Portugal!E$13</f>
        <v>0</v>
      </c>
      <c r="F42" s="31">
        <f>Portugal!F$13</f>
        <v>0</v>
      </c>
      <c r="G42" s="31">
        <f>Portugal!G$13</f>
        <v>0</v>
      </c>
      <c r="H42" s="31">
        <f>Portugal!H$13</f>
        <v>0</v>
      </c>
      <c r="I42" s="31">
        <f>Portugal!I$13</f>
        <v>0</v>
      </c>
      <c r="J42" s="31">
        <f>Portugal!J$13</f>
        <v>0</v>
      </c>
      <c r="K42" s="31">
        <f>Portugal!K$13</f>
        <v>0</v>
      </c>
      <c r="L42" s="31">
        <v>0</v>
      </c>
      <c r="M42" s="31">
        <v>0</v>
      </c>
      <c r="N42" s="31">
        <f>Portugal!P$13</f>
        <v>0</v>
      </c>
      <c r="O42" s="31">
        <f>Portugal!Q$13</f>
        <v>0</v>
      </c>
      <c r="P42" s="31">
        <f>Portugal!R$13</f>
        <v>0</v>
      </c>
      <c r="Q42" s="31">
        <f>Portugal!S$13</f>
        <v>0</v>
      </c>
      <c r="R42" s="31">
        <f>Portugal!T$13</f>
        <v>0</v>
      </c>
      <c r="S42" s="31">
        <f>Portugal!V$13</f>
        <v>0</v>
      </c>
      <c r="T42" s="31">
        <f>Portugal!W$13</f>
        <v>0</v>
      </c>
      <c r="U42" s="32">
        <f>Portugal!X$13</f>
        <v>0</v>
      </c>
    </row>
    <row r="43" spans="1:21" ht="13.8" thickBot="1">
      <c r="A43" s="33" t="s">
        <v>5</v>
      </c>
      <c r="B43" s="34">
        <f t="shared" si="4"/>
        <v>1.2245456681600422E-2</v>
      </c>
      <c r="C43" s="162">
        <v>-28658.887682545159</v>
      </c>
      <c r="D43" s="35">
        <v>-28402.665278567671</v>
      </c>
      <c r="E43" s="127">
        <f>Belgium!E$17+Belgium!E$19+Denmark!E$26+Germany!E$25+Italy!E$28+Poland!E$24+Spain!E$15+Spain!E$16+Switzerland!E$23+Switzerland!E$25+Switzerland!E$26+Switzerland!E$27+Netherlands!E$14+UK!E$18+'Czech Republic'!E$17+'Czech Republic'!E$18+'Czech Republic'!E$19+'Czech Republic'!E$20+France!E$31+France!E$35+France!E$36+France!E$37+France!E$30+Belgium!E$18+France!E34</f>
        <v>112159.72774406722</v>
      </c>
      <c r="F43" s="35">
        <f>Belgium!F$17+Belgium!F$19+Denmark!F$26+Germany!F$25+Italy!F$28+Poland!F$24+Spain!F$15+Spain!F$16+Switzerland!F$23+Switzerland!F$25+Switzerland!F$26+Switzerland!F$27+Netherlands!F$14+UK!F$18+'Czech Republic'!F$17+'Czech Republic'!F$18+'Czech Republic'!F$19+'Czech Republic'!F$20+France!F$31+France!F$35+France!F$36+France!F$37+France!F$30+Belgium!F$18+France!F34</f>
        <v>110802.89568476356</v>
      </c>
      <c r="G43" s="35">
        <f>Belgium!G$17+Belgium!G$19+Denmark!G$26+Germany!G$25+Italy!G$28+Poland!G$24+Spain!G$15+Spain!G$16+Switzerland!G$23+Switzerland!G$25+Switzerland!G$26+Switzerland!G$27+Netherlands!G$14+UK!G$18+'Czech Republic'!G$17+'Czech Republic'!G$18+'Czech Republic'!G$19+'Czech Republic'!G$20+France!G$31+France!G$35+France!G$36+France!G$37+France!G$30+Belgium!G$18</f>
        <v>60814.422455924279</v>
      </c>
      <c r="H43" s="35">
        <f>Belgium!H$17+Belgium!H$19+Denmark!H$26+Germany!H$25+Italy!H$28+Poland!H$24+Spain!H$15+Spain!H$16+Switzerland!H$23+Switzerland!H$25+Switzerland!H$26+Switzerland!H$27+Netherlands!H$14+UK!H$18+'Czech Republic'!H$17+'Czech Republic'!H$18+'Czech Republic'!H$19+'Czech Republic'!H$20+France!H$31+France!H$35+France!H$36+France!H$37+France!H$30+Belgium!H$18</f>
        <v>111754.58944375916</v>
      </c>
      <c r="I43" s="35">
        <f>Belgium!I$17+Belgium!I$19+Denmark!I$26+Germany!I$25+Italy!I$28+Poland!I$24+Spain!I$15+Spain!I$16+Switzerland!I$23+Switzerland!I$25+Switzerland!I$26+Switzerland!I$27+Netherlands!I$14+UK!I$18+'Czech Republic'!I$17+'Czech Republic'!I$18+'Czech Republic'!I$19+'Czech Republic'!I$20+France!I$31+France!I$35+France!I$36+France!I$37+France!I$30+Belgium!I$18</f>
        <v>74007.519003740512</v>
      </c>
      <c r="J43" s="35">
        <f>Belgium!J$17+Belgium!J$19+Denmark!J$26+Germany!J$25+Italy!J$28+Poland!J$24+Spain!J$15+Spain!J$16+Switzerland!J$23+Switzerland!J$25+Switzerland!J$26+Switzerland!J$27+Netherlands!J$14+UK!J$18+'Czech Republic'!J$17+'Czech Republic'!J$18+'Czech Republic'!J$19+'Czech Republic'!J$20+France!J$31+France!J$35+France!J$36+France!J$37+France!J$30</f>
        <v>108779.42485329602</v>
      </c>
      <c r="K43" s="35">
        <f>Belgium!K$17+Belgium!K$19+Denmark!K$26+Germany!K$25+Italy!K$28+Poland!K$24+Spain!K$15+Spain!K$16+Switzerland!K$23+Switzerland!K$25+Switzerland!K$26+Switzerland!K$27+Netherlands!K$14+UK!K$18+'Czech Republic'!K$17+'Czech Republic'!K$18+'Czech Republic'!K$19+'Czech Republic'!K$20+France!K$31+France!K$35+France!K$36+France!K$37+France!K$30</f>
        <v>87859.49765465087</v>
      </c>
      <c r="L43" s="35">
        <v>98554.500963122453</v>
      </c>
      <c r="M43" s="35">
        <v>61343</v>
      </c>
      <c r="N43" s="35">
        <f>Belgium!N$19+Belgium!N$17+Denmark!N$26+Germany!N$25+Italy!N$28+Poland!N$24+Spain!N$15+Spain!N$16+Switzerland!N$23+Switzerland!N$25+Switzerland!N$27+Switzerland!N$26+Netherlands!N$14+UK!N$18+'Czech Republic'!N$17+'Czech Republic'!N$18+'Czech Republic'!N$19+'Czech Republic'!N$20+France!N$31+France!N$35+France!N$36+France!N$37+France!N$30</f>
        <v>74603.911933959171</v>
      </c>
      <c r="O43" s="35">
        <f>Belgium!O$19+Belgium!O$17+Denmark!O$26+Germany!O$25+Italy!O$28+Poland!O$24+Spain!O$15+Spain!O$16+Switzerland!O$23+Switzerland!O$25+Switzerland!O$27+Switzerland!O$26+Netherlands!O$14+UK!O$18+'Czech Republic'!O$17+'Czech Republic'!O$18+'Czech Republic'!O$19+'Czech Republic'!O$20+France!O$31+France!O$35+France!O$36+France!O$37+France!O$30</f>
        <v>90922.210259255764</v>
      </c>
      <c r="P43" s="35">
        <f>Belgium!P$19+Belgium!P$17+Denmark!P$26+Germany!P$25+Italy!P$28+Poland!P$24+Spain!P$15+Spain!P$16+Switzerland!P$23+Switzerland!P$25+Switzerland!P$27+Switzerland!P$26+Netherlands!P$14+UK!P$18+'Czech Republic'!P$17+'Czech Republic'!P$18+'Czech Republic'!P$19+'Czech Republic'!P$20+France!P$31+France!P$35+France!P$36+France!P$37+France!P$30</f>
        <v>86656.251494857366</v>
      </c>
      <c r="Q43" s="35">
        <f>Belgium!Q$19+Belgium!Q$17+Denmark!Q$26+Germany!Q$25+Italy!Q$28+Poland!Q$24+Spain!Q$15+Spain!Q$16+Switzerland!Q$23+Switzerland!Q$25+Switzerland!Q$27+Switzerland!Q$26+Netherlands!Q$14+UK!Q$18+'Czech Republic'!Q$17+'Czech Republic'!Q$18+'Czech Republic'!Q$19+'Czech Republic'!Q$20+France!Q$31+France!Q$35+France!Q$36+France!Q$37+France!Q$30</f>
        <v>125238.37619778604</v>
      </c>
      <c r="R43" s="35">
        <f>Belgium!R$19+Belgium!R$17+Denmark!R$26+Germany!R$25+Italy!R$28+Poland!R$24+Spain!R$15+Spain!R$16+Switzerland!R$23+Switzerland!R$25+Switzerland!R$27+Switzerland!R$26+Netherlands!R$14+UK!R$18+'Czech Republic'!R$17+'Czech Republic'!R$18+'Czech Republic'!R$19+'Czech Republic'!R$20+France!R$31+France!R$35+France!R$36+France!R$37+France!R$30</f>
        <v>63883</v>
      </c>
      <c r="S43" s="35">
        <f>Belgium!S$19+Denmark!S$26+Germany!S$25+Italy!S$28+Poland!S$24+Spain!S$15+Spain!S$16+Switzerland!S$23+Switzerland!S$25+Switzerland!S$27+Netherlands!S$14+UK!S$18+'Czech Republic'!S$17+'Czech Republic'!S$20+France!S$31+France!S$35+France!S$36+France!S$37+France!S$30</f>
        <v>100815</v>
      </c>
      <c r="T43" s="35">
        <f>Belgium!T$19+Denmark!T$26+Germany!T$25+Italy!T$28+Poland!T$24+Spain!T$15+Spain!T$16+Switzerland!T$23+Switzerland!T$25+Switzerland!T$27+Netherlands!T$14+UK!T$18+'Czech Republic'!T$17+'Czech Republic'!T$20+France!T$31+France!T$35+France!T$36+France!T$37+France!T$30</f>
        <v>56046</v>
      </c>
      <c r="U43" s="36">
        <f>Belgium!U$19+Denmark!U$26+Germany!U$25+Italy!U$28+Poland!U$24+Spain!U$15+Spain!U$16+Switzerland!U$23+Switzerland!U$25+Switzerland!U$27+Netherlands!U$14+UK!U$18+'Czech Republic'!U$17+'Czech Republic'!U$20+France!U$31+France!U$35+France!U$36+France!U$37+France!U$30</f>
        <v>77094</v>
      </c>
    </row>
    <row r="44" spans="1:21" ht="13.8" thickBot="1">
      <c r="A44" s="37" t="s">
        <v>92</v>
      </c>
      <c r="B44" s="70">
        <f t="shared" si="4"/>
        <v>0.1422491732891088</v>
      </c>
      <c r="C44" s="163">
        <f>SUM(C36:C43)</f>
        <v>-137610.09681113967</v>
      </c>
      <c r="D44" s="50">
        <f>SUM(D36:D43)</f>
        <v>-134617.51572181069</v>
      </c>
      <c r="E44" s="137">
        <f t="shared" ref="E44:F44" si="5">SUM(E36:E43)</f>
        <v>766481.82047812059</v>
      </c>
      <c r="F44" s="39">
        <f t="shared" si="5"/>
        <v>671028.56224534148</v>
      </c>
      <c r="G44" s="39">
        <f t="shared" ref="G44:K44" si="6">SUM(G36:G43)</f>
        <v>661519.02733974636</v>
      </c>
      <c r="H44" s="39">
        <f t="shared" si="6"/>
        <v>746681.6191775942</v>
      </c>
      <c r="I44" s="39">
        <f t="shared" si="6"/>
        <v>655673.9741538252</v>
      </c>
      <c r="J44" s="39">
        <f t="shared" si="6"/>
        <v>899278.22719276848</v>
      </c>
      <c r="K44" s="39">
        <f t="shared" si="6"/>
        <v>681834.56282623264</v>
      </c>
      <c r="L44" s="39">
        <v>912620.93250729586</v>
      </c>
      <c r="M44" s="39">
        <v>815563</v>
      </c>
      <c r="N44" s="39">
        <f>SUM(N36:N43)</f>
        <v>835422.66620058473</v>
      </c>
      <c r="O44" s="39">
        <f t="shared" ref="O44:U44" si="7">SUM(O36:O43)</f>
        <v>948631.42144917685</v>
      </c>
      <c r="P44" s="39">
        <f t="shared" si="7"/>
        <v>922229.30568824639</v>
      </c>
      <c r="Q44" s="39">
        <f t="shared" si="7"/>
        <v>1020378.6730449015</v>
      </c>
      <c r="R44" s="39">
        <f t="shared" si="7"/>
        <v>644650</v>
      </c>
      <c r="S44" s="39">
        <f t="shared" si="7"/>
        <v>1030987</v>
      </c>
      <c r="T44" s="39">
        <f t="shared" si="7"/>
        <v>683955</v>
      </c>
      <c r="U44" s="40">
        <f t="shared" si="7"/>
        <v>797892</v>
      </c>
    </row>
    <row r="45" spans="1:21">
      <c r="A45" s="26"/>
      <c r="B45" s="3" t="s">
        <v>173</v>
      </c>
      <c r="C45" s="26"/>
      <c r="D45" s="26"/>
      <c r="E45" s="26"/>
    </row>
    <row r="46" spans="1:21">
      <c r="A46" s="26"/>
      <c r="B46" s="26"/>
      <c r="C46" s="26"/>
      <c r="D46" s="26"/>
      <c r="E46" s="26"/>
    </row>
    <row r="47" spans="1:21">
      <c r="A47" s="26"/>
      <c r="B47" s="26"/>
      <c r="C47" s="26"/>
      <c r="D47" s="31"/>
      <c r="E47" s="31"/>
    </row>
  </sheetData>
  <conditionalFormatting sqref="E1">
    <cfRule type="expression" dxfId="26" priority="2">
      <formula>ISBLANK(XFD1)=FALSE</formula>
    </cfRule>
  </conditionalFormatting>
  <conditionalFormatting sqref="E35">
    <cfRule type="expression" dxfId="25" priority="1">
      <formula>ISBLANK(XFD35)=FALSE</formula>
    </cfRule>
  </conditionalFormatting>
  <pageMargins left="0.75" right="0.75" top="1" bottom="1" header="0.5" footer="0.5"/>
  <pageSetup paperSize="9" scale="83" fitToHeight="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8"/>
  <sheetViews>
    <sheetView workbookViewId="0"/>
  </sheetViews>
  <sheetFormatPr defaultColWidth="9.109375" defaultRowHeight="13.2"/>
  <cols>
    <col min="1" max="1" width="19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1" width="11.44140625" style="26" customWidth="1"/>
    <col min="12" max="13" width="10.6640625" style="26" customWidth="1"/>
    <col min="14" max="24" width="10.109375" style="26" bestFit="1" customWidth="1"/>
    <col min="25" max="16384" width="9.109375" style="26"/>
  </cols>
  <sheetData>
    <row r="1" spans="1:24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28">
        <v>39783</v>
      </c>
      <c r="W1" s="28">
        <v>39417</v>
      </c>
      <c r="X1" s="44">
        <v>39052</v>
      </c>
    </row>
    <row r="2" spans="1:24">
      <c r="A2" s="9" t="s">
        <v>99</v>
      </c>
      <c r="B2" s="15">
        <f t="shared" ref="B2:B21" si="0">IFERROR(((E2-F2)/F2),"")</f>
        <v>0.41795737743100042</v>
      </c>
      <c r="C2" s="135">
        <v>-158.93154030140332</v>
      </c>
      <c r="D2" s="1">
        <v>-16.569446535199944</v>
      </c>
      <c r="E2" s="120">
        <v>183.29068192081891</v>
      </c>
      <c r="F2" s="64">
        <v>129.26388679813337</v>
      </c>
      <c r="G2" s="64">
        <v>588.87550805359024</v>
      </c>
      <c r="H2" s="64">
        <v>878.05250305250308</v>
      </c>
      <c r="I2" s="64">
        <v>527.24358974358972</v>
      </c>
      <c r="J2" s="64">
        <v>789.34999999999991</v>
      </c>
      <c r="K2" s="64">
        <v>849</v>
      </c>
      <c r="L2" s="64">
        <v>854</v>
      </c>
      <c r="M2" s="64">
        <v>337</v>
      </c>
      <c r="N2" s="31">
        <v>38.08</v>
      </c>
      <c r="O2" s="31">
        <v>1685.88</v>
      </c>
      <c r="P2" s="31">
        <v>1916.6399999999999</v>
      </c>
      <c r="Q2" s="31">
        <v>1754</v>
      </c>
      <c r="R2" s="31">
        <v>1734</v>
      </c>
      <c r="S2" s="31"/>
      <c r="T2" s="31">
        <v>2467</v>
      </c>
      <c r="U2" s="31">
        <v>2852</v>
      </c>
      <c r="V2" s="31">
        <v>3464</v>
      </c>
      <c r="W2" s="31">
        <v>2902</v>
      </c>
      <c r="X2" s="32">
        <v>2470</v>
      </c>
    </row>
    <row r="3" spans="1:24">
      <c r="A3" s="9" t="s">
        <v>3</v>
      </c>
      <c r="B3" s="15">
        <f t="shared" si="0"/>
        <v>4.9855072463768115</v>
      </c>
      <c r="C3" s="135">
        <v>-180.07990867579906</v>
      </c>
      <c r="D3" s="1">
        <v>-46.850126007435662</v>
      </c>
      <c r="E3" s="120">
        <v>565.7534246575342</v>
      </c>
      <c r="F3" s="64">
        <v>94.520547945205479</v>
      </c>
      <c r="G3" s="64">
        <v>127.39726027397261</v>
      </c>
      <c r="H3" s="64">
        <v>333.33333333333337</v>
      </c>
      <c r="I3" s="64">
        <v>134.72222222222223</v>
      </c>
      <c r="J3" s="64">
        <v>28.6</v>
      </c>
      <c r="K3" s="64">
        <v>0</v>
      </c>
      <c r="L3" s="64">
        <v>105</v>
      </c>
      <c r="M3" s="64">
        <v>10</v>
      </c>
      <c r="N3" s="31">
        <v>3.36</v>
      </c>
      <c r="O3" s="31">
        <v>66.08</v>
      </c>
      <c r="P3" s="31">
        <v>57</v>
      </c>
      <c r="Q3" s="31">
        <v>84</v>
      </c>
      <c r="R3" s="31">
        <v>36</v>
      </c>
      <c r="S3" s="31"/>
      <c r="T3" s="31">
        <v>0</v>
      </c>
      <c r="U3" s="31">
        <v>49</v>
      </c>
      <c r="V3" s="31">
        <v>18</v>
      </c>
      <c r="W3" s="31"/>
      <c r="X3" s="32"/>
    </row>
    <row r="4" spans="1:24">
      <c r="A4" s="9" t="s">
        <v>10</v>
      </c>
      <c r="B4" s="15">
        <f t="shared" si="0"/>
        <v>0.24922930700890894</v>
      </c>
      <c r="C4" s="135">
        <v>195.38256644421108</v>
      </c>
      <c r="D4" s="1">
        <v>-111.51960292371314</v>
      </c>
      <c r="E4" s="120">
        <v>6093.9936775553215</v>
      </c>
      <c r="F4" s="64">
        <v>4878.2026192985095</v>
      </c>
      <c r="G4" s="64">
        <v>6298.5097094686143</v>
      </c>
      <c r="H4" s="64">
        <v>10181.013431013431</v>
      </c>
      <c r="I4" s="64">
        <v>7603.1593406593402</v>
      </c>
      <c r="J4" s="64">
        <v>7880.2000000000007</v>
      </c>
      <c r="K4" s="64">
        <v>9430</v>
      </c>
      <c r="L4" s="64">
        <v>11892</v>
      </c>
      <c r="M4" s="64">
        <v>5419</v>
      </c>
      <c r="N4" s="31">
        <v>2348.52</v>
      </c>
      <c r="O4" s="31">
        <v>13178.04</v>
      </c>
      <c r="P4" s="31">
        <v>13629.16</v>
      </c>
      <c r="Q4" s="31">
        <v>13074</v>
      </c>
      <c r="R4" s="31">
        <v>12295</v>
      </c>
      <c r="S4" s="31"/>
      <c r="T4" s="31">
        <v>16218</v>
      </c>
      <c r="U4" s="31">
        <v>16455</v>
      </c>
      <c r="V4" s="31">
        <v>13063</v>
      </c>
      <c r="W4" s="31">
        <v>12769</v>
      </c>
      <c r="X4" s="32">
        <v>9929</v>
      </c>
    </row>
    <row r="5" spans="1:24">
      <c r="A5" s="9" t="s">
        <v>1</v>
      </c>
      <c r="B5" s="15">
        <f t="shared" si="0"/>
        <v>1.571917808219178</v>
      </c>
      <c r="C5" s="135">
        <v>-869.65372907153778</v>
      </c>
      <c r="D5" s="1">
        <v>-559.72222222222217</v>
      </c>
      <c r="E5" s="120">
        <v>4115.0684931506848</v>
      </c>
      <c r="F5" s="64">
        <v>1600</v>
      </c>
      <c r="G5" s="64">
        <v>3439.7260273972606</v>
      </c>
      <c r="H5" s="64">
        <v>5389.3925518925525</v>
      </c>
      <c r="I5" s="64">
        <v>3332.4633699633696</v>
      </c>
      <c r="J5" s="64">
        <v>2503.8000000000002</v>
      </c>
      <c r="K5" s="64">
        <v>2772</v>
      </c>
      <c r="L5" s="64">
        <v>4874</v>
      </c>
      <c r="M5" s="64">
        <v>1618</v>
      </c>
      <c r="N5" s="31">
        <v>133.28</v>
      </c>
      <c r="O5" s="31">
        <v>3161.64</v>
      </c>
      <c r="P5" s="31">
        <v>3389.12</v>
      </c>
      <c r="Q5" s="31">
        <v>3360</v>
      </c>
      <c r="R5" s="31">
        <v>3193</v>
      </c>
      <c r="S5" s="31"/>
      <c r="T5" s="31">
        <v>4222</v>
      </c>
      <c r="U5" s="31">
        <v>4710</v>
      </c>
      <c r="V5" s="31">
        <v>4086</v>
      </c>
      <c r="W5" s="31">
        <v>5017</v>
      </c>
      <c r="X5" s="32">
        <v>5616</v>
      </c>
    </row>
    <row r="6" spans="1:24">
      <c r="A6" s="9" t="s">
        <v>139</v>
      </c>
      <c r="B6" s="15">
        <f t="shared" si="0"/>
        <v>4.418477268577687E-2</v>
      </c>
      <c r="C6" s="135">
        <v>-554.64231354642288</v>
      </c>
      <c r="D6" s="1">
        <v>649.96194824962004</v>
      </c>
      <c r="E6" s="120">
        <v>7834.2465753424658</v>
      </c>
      <c r="F6" s="64">
        <v>7502.7397260273974</v>
      </c>
      <c r="G6" s="64">
        <v>7643.8356164383567</v>
      </c>
      <c r="H6" s="64">
        <v>8138.8888888888887</v>
      </c>
      <c r="I6" s="64">
        <v>6068.0555555555557</v>
      </c>
      <c r="J6" s="64">
        <v>12571.75</v>
      </c>
      <c r="K6" s="64">
        <v>9860</v>
      </c>
      <c r="L6" s="64">
        <v>8898</v>
      </c>
      <c r="M6" s="64">
        <v>4982</v>
      </c>
      <c r="N6" s="31">
        <v>3019.52</v>
      </c>
      <c r="O6" s="31">
        <v>6138.72</v>
      </c>
      <c r="P6" s="31">
        <v>5300.96</v>
      </c>
      <c r="Q6" s="31">
        <v>3322</v>
      </c>
      <c r="R6" s="31">
        <v>2267</v>
      </c>
      <c r="S6" s="31"/>
      <c r="T6" s="31">
        <v>811</v>
      </c>
      <c r="U6" s="31"/>
      <c r="V6" s="31"/>
      <c r="W6" s="31"/>
      <c r="X6" s="32"/>
    </row>
    <row r="7" spans="1:24">
      <c r="A7" s="9" t="s">
        <v>11</v>
      </c>
      <c r="B7" s="15">
        <f t="shared" si="0"/>
        <v>0.63870467359761574</v>
      </c>
      <c r="C7" s="135">
        <v>564.30507468178712</v>
      </c>
      <c r="D7" s="1">
        <v>-62.880517503805322</v>
      </c>
      <c r="E7" s="120">
        <v>2830.6939635706758</v>
      </c>
      <c r="F7" s="64">
        <v>1727.3972602739725</v>
      </c>
      <c r="G7" s="64">
        <v>2209.5890410958905</v>
      </c>
      <c r="H7" s="64">
        <v>2734.2796092796093</v>
      </c>
      <c r="I7" s="64">
        <v>2668.8492063492063</v>
      </c>
      <c r="J7" s="64">
        <v>2174.15</v>
      </c>
      <c r="K7" s="64">
        <v>2371</v>
      </c>
      <c r="L7" s="64">
        <v>3163</v>
      </c>
      <c r="M7" s="64">
        <v>1686</v>
      </c>
      <c r="N7" s="31">
        <v>667.52</v>
      </c>
      <c r="O7" s="64">
        <v>2796.64</v>
      </c>
      <c r="P7" s="64">
        <v>2890.52</v>
      </c>
      <c r="Q7" s="64">
        <v>2582</v>
      </c>
      <c r="R7" s="64">
        <v>1907</v>
      </c>
      <c r="S7" s="64"/>
      <c r="T7" s="64">
        <v>1849</v>
      </c>
      <c r="U7" s="64">
        <v>3253</v>
      </c>
      <c r="V7" s="64">
        <v>1418</v>
      </c>
      <c r="W7" s="31"/>
      <c r="X7" s="32"/>
    </row>
    <row r="8" spans="1:24">
      <c r="A8" s="9" t="s">
        <v>8</v>
      </c>
      <c r="B8" s="15">
        <f t="shared" si="0"/>
        <v>1.4464338309715248</v>
      </c>
      <c r="C8" s="135">
        <v>-3558.026912204994</v>
      </c>
      <c r="D8" s="1">
        <v>-1988.5606820880785</v>
      </c>
      <c r="E8" s="120">
        <v>34384.750865572787</v>
      </c>
      <c r="F8" s="64">
        <v>14055.050429023031</v>
      </c>
      <c r="G8" s="64">
        <v>25481.875658587989</v>
      </c>
      <c r="H8" s="64">
        <v>31220.497557997558</v>
      </c>
      <c r="I8" s="64">
        <v>24482.142857142855</v>
      </c>
      <c r="J8" s="64">
        <v>18987.25</v>
      </c>
      <c r="K8" s="64">
        <v>22351</v>
      </c>
      <c r="L8" s="64">
        <v>25242</v>
      </c>
      <c r="M8" s="64">
        <v>12675</v>
      </c>
      <c r="N8" s="31">
        <v>2041.08</v>
      </c>
      <c r="O8" s="31">
        <v>26453.64</v>
      </c>
      <c r="P8" s="31">
        <v>21585.4</v>
      </c>
      <c r="Q8" s="31">
        <v>23640</v>
      </c>
      <c r="R8" s="31">
        <v>19598</v>
      </c>
      <c r="S8" s="31"/>
      <c r="T8" s="31">
        <v>25790</v>
      </c>
      <c r="U8" s="31">
        <v>23069</v>
      </c>
      <c r="V8" s="31">
        <v>19514</v>
      </c>
      <c r="W8" s="31">
        <v>19815</v>
      </c>
      <c r="X8" s="32">
        <v>13598</v>
      </c>
    </row>
    <row r="9" spans="1:24">
      <c r="A9" s="9" t="s">
        <v>13</v>
      </c>
      <c r="B9" s="143" t="str">
        <f t="shared" si="0"/>
        <v/>
      </c>
      <c r="C9" s="144">
        <v>0</v>
      </c>
      <c r="D9" s="1">
        <v>0</v>
      </c>
      <c r="E9" s="120"/>
      <c r="F9" s="64"/>
      <c r="G9" s="64"/>
      <c r="H9" s="64"/>
      <c r="I9" s="64"/>
      <c r="J9" s="64"/>
      <c r="K9" s="64"/>
      <c r="L9" s="64">
        <v>0</v>
      </c>
      <c r="M9" s="64"/>
      <c r="N9" s="31"/>
      <c r="O9" s="31"/>
      <c r="P9" s="31"/>
      <c r="Q9" s="31"/>
      <c r="R9" s="31"/>
      <c r="S9" s="31"/>
      <c r="T9" s="31">
        <v>21</v>
      </c>
      <c r="U9" s="31">
        <v>568</v>
      </c>
      <c r="V9" s="31">
        <v>170</v>
      </c>
      <c r="W9" s="31">
        <v>163</v>
      </c>
      <c r="X9" s="32">
        <v>367</v>
      </c>
    </row>
    <row r="10" spans="1:24">
      <c r="A10" s="9" t="s">
        <v>2</v>
      </c>
      <c r="B10" s="143">
        <f t="shared" si="0"/>
        <v>0.55148263717394219</v>
      </c>
      <c r="C10" s="144">
        <v>-1680.98972184589</v>
      </c>
      <c r="D10" s="1">
        <v>-1547.4532925217864</v>
      </c>
      <c r="E10" s="120">
        <v>20238.732500376336</v>
      </c>
      <c r="F10" s="64">
        <v>13044.768929700436</v>
      </c>
      <c r="G10" s="64">
        <v>23104.591299111846</v>
      </c>
      <c r="H10" s="64">
        <v>27643.986568986569</v>
      </c>
      <c r="I10" s="64">
        <v>29766.315628815628</v>
      </c>
      <c r="J10" s="64">
        <v>31349.649999999998</v>
      </c>
      <c r="K10" s="64">
        <v>28929</v>
      </c>
      <c r="L10" s="64">
        <v>27674</v>
      </c>
      <c r="M10" s="64">
        <v>25638</v>
      </c>
      <c r="N10" s="31">
        <v>19195.52</v>
      </c>
      <c r="O10" s="31">
        <v>43246.400000000001</v>
      </c>
      <c r="P10" s="31">
        <v>49764.6</v>
      </c>
      <c r="Q10" s="31">
        <v>34928</v>
      </c>
      <c r="R10" s="31">
        <v>45592</v>
      </c>
      <c r="S10" s="31"/>
      <c r="T10" s="31">
        <v>49057</v>
      </c>
      <c r="U10" s="31">
        <v>45463</v>
      </c>
      <c r="V10" s="31">
        <v>48704</v>
      </c>
      <c r="W10" s="31">
        <v>47502</v>
      </c>
      <c r="X10" s="32">
        <v>39970</v>
      </c>
    </row>
    <row r="11" spans="1:24">
      <c r="A11" s="9" t="s">
        <v>16</v>
      </c>
      <c r="B11" s="143">
        <f t="shared" si="0"/>
        <v>6.7890625</v>
      </c>
      <c r="C11" s="144">
        <v>-196.7465753424658</v>
      </c>
      <c r="D11" s="1">
        <v>-135.76864535768644</v>
      </c>
      <c r="E11" s="120">
        <v>1365.7534246575342</v>
      </c>
      <c r="F11" s="64">
        <v>175.34246575342465</v>
      </c>
      <c r="G11" s="64">
        <v>828.27035977720914</v>
      </c>
      <c r="H11" s="64">
        <v>1143.7118437118438</v>
      </c>
      <c r="I11" s="64">
        <v>853.63247863247864</v>
      </c>
      <c r="J11" s="64">
        <v>549.35</v>
      </c>
      <c r="K11" s="64">
        <v>596</v>
      </c>
      <c r="L11" s="64">
        <v>227</v>
      </c>
      <c r="M11" s="64">
        <v>160</v>
      </c>
      <c r="N11" s="31">
        <v>60.480000000000004</v>
      </c>
      <c r="O11" s="64">
        <v>293.44</v>
      </c>
      <c r="P11" s="64">
        <v>827.68000000000006</v>
      </c>
      <c r="Q11" s="64">
        <v>202</v>
      </c>
      <c r="R11" s="64">
        <v>142</v>
      </c>
      <c r="S11" s="64"/>
      <c r="T11" s="64">
        <v>257</v>
      </c>
      <c r="U11" s="64">
        <v>125</v>
      </c>
      <c r="V11" s="64">
        <v>99</v>
      </c>
      <c r="W11" s="31"/>
      <c r="X11" s="32"/>
    </row>
    <row r="12" spans="1:24">
      <c r="A12" s="10" t="s">
        <v>9</v>
      </c>
      <c r="B12" s="143">
        <f t="shared" si="0"/>
        <v>2.1121171257946449</v>
      </c>
      <c r="C12" s="144">
        <v>-77.283481358823337</v>
      </c>
      <c r="D12" s="1">
        <v>2.7537457427418985</v>
      </c>
      <c r="E12" s="120">
        <v>2431.8831853078432</v>
      </c>
      <c r="F12" s="64">
        <v>781.4240553966581</v>
      </c>
      <c r="G12" s="64">
        <v>2934.5476441366854</v>
      </c>
      <c r="H12" s="64">
        <v>5105.6166056166057</v>
      </c>
      <c r="I12" s="64">
        <v>3944.2155067155068</v>
      </c>
      <c r="J12" s="64">
        <v>5727.5</v>
      </c>
      <c r="K12" s="64">
        <v>6177</v>
      </c>
      <c r="L12" s="64">
        <v>10625</v>
      </c>
      <c r="M12" s="64">
        <v>4267</v>
      </c>
      <c r="N12" s="31">
        <v>379.52</v>
      </c>
      <c r="O12" s="64">
        <v>15606.119999999999</v>
      </c>
      <c r="P12" s="64">
        <v>15631.96</v>
      </c>
      <c r="Q12" s="64">
        <v>18639</v>
      </c>
      <c r="R12" s="64">
        <v>14767</v>
      </c>
      <c r="S12" s="64"/>
      <c r="T12" s="64">
        <v>21424</v>
      </c>
      <c r="U12" s="64">
        <v>22753</v>
      </c>
      <c r="V12" s="64">
        <v>20329</v>
      </c>
      <c r="W12" s="31">
        <v>20814</v>
      </c>
      <c r="X12" s="32">
        <v>21653</v>
      </c>
    </row>
    <row r="13" spans="1:24">
      <c r="A13" s="10" t="s">
        <v>25</v>
      </c>
      <c r="B13" s="143">
        <f t="shared" si="0"/>
        <v>0.97212470369370185</v>
      </c>
      <c r="C13" s="144">
        <v>-277.17292220716899</v>
      </c>
      <c r="D13" s="1">
        <v>-204.02564006595003</v>
      </c>
      <c r="E13" s="120">
        <v>3957.5493000150536</v>
      </c>
      <c r="F13" s="64">
        <v>2006.7439409905164</v>
      </c>
      <c r="G13" s="64">
        <v>1925.9370766220081</v>
      </c>
      <c r="H13" s="64">
        <v>5005.463980463981</v>
      </c>
      <c r="I13" s="64">
        <v>3729.4719169719169</v>
      </c>
      <c r="J13" s="64">
        <v>2869.3999999999996</v>
      </c>
      <c r="K13" s="64">
        <v>6004</v>
      </c>
      <c r="L13" s="64">
        <v>8282</v>
      </c>
      <c r="M13" s="64">
        <v>3834</v>
      </c>
      <c r="N13" s="31">
        <v>1535.4</v>
      </c>
      <c r="O13" s="64">
        <v>8652.68</v>
      </c>
      <c r="P13" s="64">
        <v>9490.36</v>
      </c>
      <c r="Q13" s="64">
        <v>8354</v>
      </c>
      <c r="R13" s="64">
        <v>7434</v>
      </c>
      <c r="S13" s="64"/>
      <c r="T13" s="64">
        <v>10986</v>
      </c>
      <c r="U13" s="64">
        <v>11443</v>
      </c>
      <c r="V13" s="64">
        <v>8368</v>
      </c>
      <c r="W13" s="31">
        <v>10033</v>
      </c>
      <c r="X13" s="32">
        <v>10243</v>
      </c>
    </row>
    <row r="14" spans="1:24">
      <c r="A14" s="9" t="s">
        <v>24</v>
      </c>
      <c r="B14" s="143" t="str">
        <f t="shared" si="0"/>
        <v/>
      </c>
      <c r="C14" s="144">
        <v>0</v>
      </c>
      <c r="D14" s="1">
        <v>0</v>
      </c>
      <c r="E14" s="120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31">
        <v>42.56</v>
      </c>
      <c r="O14" s="64">
        <v>2704.8</v>
      </c>
      <c r="P14" s="64">
        <v>3288.32</v>
      </c>
      <c r="Q14" s="64">
        <v>3573</v>
      </c>
      <c r="R14" s="64">
        <v>2921</v>
      </c>
      <c r="S14" s="64"/>
      <c r="T14" s="64">
        <v>4541</v>
      </c>
      <c r="U14" s="64">
        <v>5643</v>
      </c>
      <c r="V14" s="64">
        <v>4002</v>
      </c>
      <c r="W14" s="31"/>
      <c r="X14" s="32"/>
    </row>
    <row r="15" spans="1:24">
      <c r="A15" s="9" t="s">
        <v>100</v>
      </c>
      <c r="B15" s="143">
        <f t="shared" si="0"/>
        <v>1.1996476284635083</v>
      </c>
      <c r="C15" s="144">
        <v>-440.14112599729015</v>
      </c>
      <c r="D15" s="1">
        <v>-443.48503855353192</v>
      </c>
      <c r="E15" s="120">
        <v>2612.3588740027099</v>
      </c>
      <c r="F15" s="64">
        <v>1187.6260725575794</v>
      </c>
      <c r="G15" s="64">
        <v>1747.7946710823421</v>
      </c>
      <c r="H15" s="64">
        <v>1481.0286935286936</v>
      </c>
      <c r="I15" s="64">
        <v>1652.3046398046397</v>
      </c>
      <c r="J15" s="64">
        <v>1273.45</v>
      </c>
      <c r="K15" s="64">
        <v>805</v>
      </c>
      <c r="L15" s="64">
        <v>804</v>
      </c>
      <c r="M15" s="64">
        <v>100</v>
      </c>
      <c r="N15" s="31">
        <v>15.68</v>
      </c>
      <c r="O15" s="64">
        <v>514.96</v>
      </c>
      <c r="P15" s="64">
        <v>117.6</v>
      </c>
      <c r="Q15" s="64">
        <v>446</v>
      </c>
      <c r="R15" s="64">
        <v>37</v>
      </c>
      <c r="S15" s="64"/>
      <c r="T15" s="64">
        <v>131</v>
      </c>
      <c r="U15" s="64">
        <v>317</v>
      </c>
      <c r="V15" s="64">
        <v>79</v>
      </c>
      <c r="W15" s="31"/>
      <c r="X15" s="32"/>
    </row>
    <row r="16" spans="1:24">
      <c r="A16" s="9" t="s">
        <v>12</v>
      </c>
      <c r="B16" s="143">
        <f t="shared" si="0"/>
        <v>0.21413577822618879</v>
      </c>
      <c r="C16" s="144">
        <v>-246.10032281265012</v>
      </c>
      <c r="D16" s="1">
        <v>-504.9625727342991</v>
      </c>
      <c r="E16" s="120">
        <v>5398.3441216317933</v>
      </c>
      <c r="F16" s="64">
        <v>4446.2441667921121</v>
      </c>
      <c r="G16" s="64">
        <v>5239.4400120427526</v>
      </c>
      <c r="H16" s="64">
        <v>6610.5158730158728</v>
      </c>
      <c r="I16" s="64">
        <v>4510.363247863248</v>
      </c>
      <c r="J16" s="64">
        <v>747.65</v>
      </c>
      <c r="K16" s="64">
        <v>939</v>
      </c>
      <c r="L16" s="64">
        <v>1893</v>
      </c>
      <c r="M16" s="64">
        <v>685</v>
      </c>
      <c r="N16" s="31">
        <v>533.76</v>
      </c>
      <c r="O16" s="64">
        <v>1761.68</v>
      </c>
      <c r="P16" s="64">
        <v>2238.7199999999998</v>
      </c>
      <c r="Q16" s="64">
        <v>2079</v>
      </c>
      <c r="R16" s="64">
        <v>1975</v>
      </c>
      <c r="S16" s="64"/>
      <c r="T16" s="64">
        <v>2683</v>
      </c>
      <c r="U16" s="64">
        <v>2845</v>
      </c>
      <c r="V16" s="64">
        <v>2283</v>
      </c>
      <c r="W16" s="31"/>
      <c r="X16" s="32"/>
    </row>
    <row r="17" spans="1:25">
      <c r="A17" s="164" t="s">
        <v>96</v>
      </c>
      <c r="B17" s="143">
        <f t="shared" si="0"/>
        <v>2.4124832076056633</v>
      </c>
      <c r="C17" s="144">
        <v>-117.57392911502484</v>
      </c>
      <c r="D17" s="1">
        <v>-216.3341947246056</v>
      </c>
      <c r="E17" s="120">
        <v>4971.0371819960865</v>
      </c>
      <c r="F17" s="64">
        <v>1456.7213608309498</v>
      </c>
      <c r="G17" s="64">
        <v>2104.9525816649102</v>
      </c>
      <c r="H17" s="64">
        <v>4323.366910866911</v>
      </c>
      <c r="I17" s="64">
        <v>2173.4279609279606</v>
      </c>
      <c r="J17" s="64">
        <v>1722.1</v>
      </c>
      <c r="K17" s="64">
        <v>2143</v>
      </c>
      <c r="L17" s="64">
        <v>1831</v>
      </c>
      <c r="M17" s="64">
        <v>541</v>
      </c>
      <c r="N17" s="31"/>
      <c r="O17" s="64"/>
      <c r="P17" s="64"/>
      <c r="Q17" s="64"/>
      <c r="R17" s="64"/>
      <c r="S17" s="64"/>
      <c r="T17" s="64"/>
      <c r="U17" s="64"/>
      <c r="V17" s="64"/>
      <c r="W17" s="31"/>
      <c r="X17" s="32"/>
    </row>
    <row r="18" spans="1:25">
      <c r="A18" s="9" t="s">
        <v>176</v>
      </c>
      <c r="B18" s="143" t="str">
        <f t="shared" si="0"/>
        <v/>
      </c>
      <c r="C18" s="144">
        <v>0</v>
      </c>
      <c r="D18" s="1">
        <v>0</v>
      </c>
      <c r="E18" s="120"/>
      <c r="F18" s="64"/>
      <c r="G18" s="64"/>
      <c r="H18" s="64"/>
      <c r="I18" s="64"/>
      <c r="J18" s="64">
        <v>62.4</v>
      </c>
      <c r="K18" s="64">
        <v>14</v>
      </c>
      <c r="L18" s="64">
        <v>68</v>
      </c>
      <c r="M18" s="64">
        <v>10</v>
      </c>
      <c r="N18" s="31">
        <v>0</v>
      </c>
      <c r="O18" s="31">
        <v>59.36</v>
      </c>
      <c r="P18" s="31">
        <v>36.96</v>
      </c>
      <c r="Q18" s="31">
        <v>57</v>
      </c>
      <c r="R18" s="31">
        <v>21</v>
      </c>
      <c r="S18" s="31"/>
      <c r="T18" s="31">
        <v>112</v>
      </c>
      <c r="U18" s="31">
        <v>253</v>
      </c>
      <c r="V18" s="31">
        <v>194</v>
      </c>
      <c r="W18" s="31"/>
      <c r="X18" s="32"/>
    </row>
    <row r="19" spans="1:25">
      <c r="A19" s="9" t="s">
        <v>102</v>
      </c>
      <c r="B19" s="15">
        <f t="shared" si="0"/>
        <v>0.78351079284237168</v>
      </c>
      <c r="C19" s="135">
        <v>-296.52993125595822</v>
      </c>
      <c r="D19" s="1">
        <v>-196.3930023075543</v>
      </c>
      <c r="E19" s="120">
        <v>3141.8034020773748</v>
      </c>
      <c r="F19" s="64">
        <v>1761.5836218575944</v>
      </c>
      <c r="G19" s="64">
        <v>1698.6301369863013</v>
      </c>
      <c r="H19" s="64">
        <v>3778.464590964591</v>
      </c>
      <c r="I19" s="64">
        <v>2146.5048840048839</v>
      </c>
      <c r="J19" s="64">
        <v>1030.45</v>
      </c>
      <c r="K19" s="64">
        <v>2300</v>
      </c>
      <c r="L19" s="64">
        <v>5513</v>
      </c>
      <c r="M19" s="64">
        <v>918</v>
      </c>
      <c r="N19" s="31">
        <v>768.52</v>
      </c>
      <c r="O19" s="31">
        <v>4714</v>
      </c>
      <c r="P19" s="31">
        <v>4102.28</v>
      </c>
      <c r="Q19" s="31">
        <v>4129</v>
      </c>
      <c r="R19" s="31">
        <v>1573</v>
      </c>
      <c r="S19" s="31"/>
      <c r="T19" s="31">
        <v>3130</v>
      </c>
      <c r="U19" s="31">
        <v>4038</v>
      </c>
      <c r="V19" s="31">
        <v>297</v>
      </c>
      <c r="W19" s="31"/>
      <c r="X19" s="32"/>
    </row>
    <row r="20" spans="1:25" ht="13.8" thickBot="1">
      <c r="A20" s="116" t="s">
        <v>57</v>
      </c>
      <c r="B20" s="16">
        <f t="shared" si="0"/>
        <v>1.0596689919299682</v>
      </c>
      <c r="C20" s="145">
        <v>-1152.7512669978441</v>
      </c>
      <c r="D20" s="7">
        <v>-920.17048705966135</v>
      </c>
      <c r="E20" s="120">
        <v>11333.915399668824</v>
      </c>
      <c r="F20" s="64">
        <v>5502.7848863465306</v>
      </c>
      <c r="G20" s="64">
        <v>7368.7340057203073</v>
      </c>
      <c r="H20" s="64">
        <v>7609.6153846153848</v>
      </c>
      <c r="I20" s="64">
        <v>4215.2625152625151</v>
      </c>
      <c r="J20" s="64">
        <v>2837.6499999999996</v>
      </c>
      <c r="K20" s="64">
        <v>1877</v>
      </c>
      <c r="L20" s="64">
        <v>3485</v>
      </c>
      <c r="M20" s="64">
        <v>273</v>
      </c>
      <c r="N20" s="31">
        <v>370.08</v>
      </c>
      <c r="O20" s="64">
        <v>397.24</v>
      </c>
      <c r="P20" s="64">
        <v>472.04</v>
      </c>
      <c r="Q20" s="64">
        <v>1913</v>
      </c>
      <c r="R20" s="64">
        <v>569</v>
      </c>
      <c r="S20" s="64"/>
      <c r="T20" s="64">
        <v>603</v>
      </c>
      <c r="U20" s="64">
        <v>994</v>
      </c>
      <c r="V20" s="64">
        <v>2373</v>
      </c>
      <c r="W20" s="31">
        <v>12651</v>
      </c>
      <c r="X20" s="32">
        <v>11437</v>
      </c>
    </row>
    <row r="21" spans="1:25" ht="13.8" thickBot="1">
      <c r="A21" s="19" t="s">
        <v>21</v>
      </c>
      <c r="B21" s="20">
        <f t="shared" si="0"/>
        <v>0.84686678582955977</v>
      </c>
      <c r="C21" s="146">
        <v>-9046.9360396072589</v>
      </c>
      <c r="D21" s="21">
        <v>-6301.9797766131524</v>
      </c>
      <c r="E21" s="137">
        <f t="shared" ref="E21" si="1">SUM(E2:E20)</f>
        <v>111459.17507150385</v>
      </c>
      <c r="F21" s="39">
        <f t="shared" ref="F21:K21" si="2">SUM(F2:F20)</f>
        <v>60350.41396959206</v>
      </c>
      <c r="G21" s="39">
        <f t="shared" si="2"/>
        <v>92742.706608460037</v>
      </c>
      <c r="H21" s="39">
        <f t="shared" si="2"/>
        <v>121577.22832722834</v>
      </c>
      <c r="I21" s="39">
        <f t="shared" si="2"/>
        <v>97808.134920634926</v>
      </c>
      <c r="J21" s="39">
        <f t="shared" si="2"/>
        <v>93104.699999999983</v>
      </c>
      <c r="K21" s="39">
        <f t="shared" si="2"/>
        <v>97417</v>
      </c>
      <c r="L21" s="39">
        <v>115430</v>
      </c>
      <c r="M21" s="39">
        <v>63153</v>
      </c>
      <c r="N21" s="39">
        <f>SUM(N2:N20)</f>
        <v>31152.880000000005</v>
      </c>
      <c r="O21" s="39">
        <f>SUM(O2:O20)</f>
        <v>131431.32</v>
      </c>
      <c r="P21" s="39">
        <f>SUM(P2:P20)</f>
        <v>134739.32</v>
      </c>
      <c r="Q21" s="39">
        <f>SUM(Q2:Q20)</f>
        <v>122136</v>
      </c>
      <c r="R21" s="39">
        <f t="shared" ref="R21:X21" si="3">SUM(R2:R20)</f>
        <v>116061</v>
      </c>
      <c r="S21" s="39"/>
      <c r="T21" s="39">
        <f t="shared" si="3"/>
        <v>144302</v>
      </c>
      <c r="U21" s="39">
        <f t="shared" si="3"/>
        <v>144830</v>
      </c>
      <c r="V21" s="39">
        <f t="shared" si="3"/>
        <v>128461</v>
      </c>
      <c r="W21" s="39">
        <f t="shared" si="3"/>
        <v>131666</v>
      </c>
      <c r="X21" s="40">
        <f t="shared" si="3"/>
        <v>115283</v>
      </c>
    </row>
    <row r="22" spans="1:25">
      <c r="B22" s="22"/>
      <c r="C22" s="22"/>
      <c r="D22" s="22"/>
      <c r="E22" s="22"/>
      <c r="F22" s="52"/>
      <c r="G22" s="52"/>
      <c r="H22" s="52"/>
      <c r="I22" s="52"/>
      <c r="J22" s="52"/>
      <c r="K22" s="52"/>
      <c r="L22" s="52"/>
      <c r="M22" s="52"/>
      <c r="N22" s="52"/>
      <c r="Y22" s="31"/>
    </row>
    <row r="23" spans="1:25">
      <c r="O23" s="31"/>
      <c r="P23" s="31"/>
      <c r="Q23" s="31"/>
      <c r="R23" s="31"/>
      <c r="S23" s="31"/>
      <c r="T23" s="31"/>
      <c r="U23" s="31"/>
      <c r="V23" s="31"/>
      <c r="X23" s="31"/>
    </row>
    <row r="27" spans="1:25" ht="17.399999999999999">
      <c r="W27" s="66"/>
      <c r="X27" s="31"/>
      <c r="Y27" s="31"/>
    </row>
    <row r="28" spans="1:25" ht="17.399999999999999">
      <c r="W28" s="66"/>
      <c r="X28" s="31"/>
      <c r="Y28" s="31"/>
    </row>
    <row r="29" spans="1:25" ht="17.399999999999999">
      <c r="W29" s="66"/>
      <c r="X29" s="31"/>
      <c r="Y29" s="31"/>
    </row>
    <row r="30" spans="1:25" ht="17.399999999999999">
      <c r="W30" s="66"/>
      <c r="X30" s="31"/>
      <c r="Y30" s="31"/>
    </row>
    <row r="31" spans="1:25" ht="17.399999999999999">
      <c r="W31" s="66"/>
      <c r="X31" s="31"/>
      <c r="Y31" s="31"/>
    </row>
    <row r="32" spans="1:25" ht="17.399999999999999">
      <c r="W32" s="66"/>
      <c r="X32" s="31"/>
      <c r="Y32" s="31"/>
    </row>
    <row r="33" spans="23:25" ht="17.399999999999999">
      <c r="W33" s="66"/>
      <c r="X33" s="31"/>
      <c r="Y33" s="31"/>
    </row>
    <row r="34" spans="23:25" ht="17.399999999999999">
      <c r="W34" s="66"/>
      <c r="X34" s="31"/>
      <c r="Y34" s="31"/>
    </row>
    <row r="35" spans="23:25" ht="17.399999999999999">
      <c r="W35" s="66"/>
      <c r="X35" s="31"/>
      <c r="Y35" s="31"/>
    </row>
    <row r="36" spans="23:25" ht="17.399999999999999">
      <c r="W36" s="66"/>
      <c r="X36" s="31"/>
      <c r="Y36" s="31"/>
    </row>
    <row r="37" spans="23:25" ht="17.399999999999999">
      <c r="W37" s="67"/>
      <c r="X37" s="31"/>
      <c r="Y37" s="31"/>
    </row>
    <row r="38" spans="23:25" ht="18">
      <c r="W38" s="68"/>
      <c r="X38" s="60"/>
      <c r="Y38" s="60"/>
    </row>
  </sheetData>
  <conditionalFormatting sqref="E1">
    <cfRule type="expression" dxfId="24" priority="1">
      <formula>ISBLANK(XFD1)=FALSE</formula>
    </cfRule>
  </conditionalFormatting>
  <pageMargins left="0.75" right="0.75" top="1" bottom="1" header="0.5" footer="0.5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8"/>
  <sheetViews>
    <sheetView workbookViewId="0"/>
  </sheetViews>
  <sheetFormatPr defaultColWidth="9.109375" defaultRowHeight="13.2"/>
  <cols>
    <col min="1" max="1" width="19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1" width="11.44140625" style="26" customWidth="1"/>
    <col min="12" max="13" width="10.6640625" style="26" customWidth="1"/>
    <col min="14" max="24" width="10.109375" style="26" bestFit="1" customWidth="1"/>
    <col min="25" max="16384" width="9.109375" style="26"/>
  </cols>
  <sheetData>
    <row r="1" spans="1:24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28">
        <v>39783</v>
      </c>
      <c r="W1" s="28">
        <v>39417</v>
      </c>
      <c r="X1" s="44">
        <v>39052</v>
      </c>
    </row>
    <row r="2" spans="1:24">
      <c r="A2" s="9" t="s">
        <v>3</v>
      </c>
      <c r="B2" s="15">
        <f t="shared" ref="B2:B10" si="0">IFERROR(((E2-F2)/F2),"")</f>
        <v>1.5988847518605034</v>
      </c>
      <c r="C2" s="135">
        <v>-1076.1202815857805</v>
      </c>
      <c r="D2" s="1">
        <v>-942.87095930599435</v>
      </c>
      <c r="E2" s="120">
        <v>5702.3268419719698</v>
      </c>
      <c r="F2" s="31">
        <v>2194.1437910587447</v>
      </c>
      <c r="G2" s="31">
        <v>2851.2388221463102</v>
      </c>
      <c r="H2" s="31">
        <v>3460</v>
      </c>
      <c r="I2" s="31">
        <v>4946</v>
      </c>
      <c r="J2" s="31">
        <v>3849</v>
      </c>
      <c r="K2" s="31">
        <v>1218</v>
      </c>
      <c r="L2" s="31">
        <v>6339</v>
      </c>
      <c r="M2" s="31">
        <v>47</v>
      </c>
      <c r="N2" s="31">
        <v>2499</v>
      </c>
      <c r="O2" s="31">
        <v>6609</v>
      </c>
      <c r="P2" s="31">
        <v>8372</v>
      </c>
      <c r="Q2" s="31">
        <v>3323</v>
      </c>
      <c r="R2" s="31">
        <v>2360</v>
      </c>
      <c r="S2" s="31">
        <v>3780</v>
      </c>
      <c r="T2" s="31">
        <v>800</v>
      </c>
      <c r="U2" s="31">
        <v>3500</v>
      </c>
      <c r="V2" s="31">
        <v>5900</v>
      </c>
      <c r="W2" s="31">
        <v>6100</v>
      </c>
      <c r="X2" s="32">
        <v>6900</v>
      </c>
    </row>
    <row r="3" spans="1:24">
      <c r="A3" s="9" t="s">
        <v>156</v>
      </c>
      <c r="B3" s="143" t="str">
        <f t="shared" si="0"/>
        <v/>
      </c>
      <c r="C3" s="144">
        <v>0</v>
      </c>
      <c r="D3" s="1">
        <v>0</v>
      </c>
      <c r="E3" s="120"/>
      <c r="F3" s="31"/>
      <c r="G3" s="31"/>
      <c r="H3" s="31">
        <v>0</v>
      </c>
      <c r="I3" s="31"/>
      <c r="J3" s="31"/>
      <c r="K3" s="31"/>
      <c r="L3" s="31"/>
      <c r="M3" s="31"/>
      <c r="N3" s="31"/>
      <c r="O3" s="31"/>
      <c r="P3" s="31"/>
      <c r="Q3" s="31">
        <v>389</v>
      </c>
      <c r="R3" s="31">
        <v>144</v>
      </c>
      <c r="S3" s="31">
        <v>80</v>
      </c>
      <c r="T3" s="31">
        <v>0</v>
      </c>
      <c r="U3" s="31">
        <v>0</v>
      </c>
      <c r="V3" s="31">
        <v>500</v>
      </c>
      <c r="W3" s="31">
        <v>900</v>
      </c>
      <c r="X3" s="32">
        <v>850</v>
      </c>
    </row>
    <row r="4" spans="1:24">
      <c r="A4" s="9" t="s">
        <v>1</v>
      </c>
      <c r="B4" s="143" t="str">
        <f t="shared" si="0"/>
        <v/>
      </c>
      <c r="C4" s="144">
        <v>-1001.5871153123544</v>
      </c>
      <c r="D4" s="1">
        <v>-899.79099782502453</v>
      </c>
      <c r="E4" s="120">
        <v>1561.4070901077816</v>
      </c>
      <c r="F4" s="31"/>
      <c r="G4" s="31">
        <v>2420.974674374168</v>
      </c>
      <c r="H4" s="31">
        <v>723.28282368698899</v>
      </c>
      <c r="I4" s="31">
        <v>1247</v>
      </c>
      <c r="J4" s="31">
        <v>613</v>
      </c>
      <c r="K4" s="31">
        <v>925</v>
      </c>
      <c r="L4" s="31">
        <v>3057</v>
      </c>
      <c r="M4" s="31">
        <v>400</v>
      </c>
      <c r="N4" s="31">
        <v>611</v>
      </c>
      <c r="O4" s="31">
        <v>2384</v>
      </c>
      <c r="P4" s="31">
        <v>3137</v>
      </c>
      <c r="Q4" s="31">
        <v>639</v>
      </c>
      <c r="R4" s="31">
        <v>1776</v>
      </c>
      <c r="S4" s="31">
        <v>1700</v>
      </c>
      <c r="T4" s="31">
        <v>400</v>
      </c>
      <c r="U4" s="31">
        <v>1200</v>
      </c>
      <c r="V4" s="31">
        <v>300</v>
      </c>
      <c r="W4" s="31">
        <v>1600</v>
      </c>
      <c r="X4" s="32">
        <v>1500</v>
      </c>
    </row>
    <row r="5" spans="1:24">
      <c r="A5" s="9" t="s">
        <v>103</v>
      </c>
      <c r="B5" s="143">
        <f t="shared" si="0"/>
        <v>-1</v>
      </c>
      <c r="C5" s="144">
        <v>0</v>
      </c>
      <c r="D5" s="1">
        <v>594.38724168440933</v>
      </c>
      <c r="E5" s="120"/>
      <c r="F5" s="31">
        <v>594.38724168440933</v>
      </c>
      <c r="G5" s="31"/>
      <c r="H5" s="31">
        <v>0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2">
        <v>700</v>
      </c>
    </row>
    <row r="6" spans="1:24">
      <c r="A6" s="9" t="s">
        <v>2</v>
      </c>
      <c r="B6" s="143">
        <f t="shared" si="0"/>
        <v>0.24023221546680573</v>
      </c>
      <c r="C6" s="144">
        <v>-2552.8371691602606</v>
      </c>
      <c r="D6" s="1">
        <v>-281.73007812819378</v>
      </c>
      <c r="E6" s="120">
        <v>11377.81910046558</v>
      </c>
      <c r="F6" s="31">
        <v>9173.9425557359282</v>
      </c>
      <c r="G6" s="31">
        <v>15533.227382462183</v>
      </c>
      <c r="H6" s="31">
        <v>10617.346453541028</v>
      </c>
      <c r="I6" s="31">
        <v>14067</v>
      </c>
      <c r="J6" s="31">
        <v>10293</v>
      </c>
      <c r="K6" s="31">
        <v>23842</v>
      </c>
      <c r="L6" s="31">
        <v>20435</v>
      </c>
      <c r="M6" s="31">
        <v>11996</v>
      </c>
      <c r="N6" s="31">
        <v>16360</v>
      </c>
      <c r="O6" s="31">
        <v>23358</v>
      </c>
      <c r="P6" s="31">
        <v>20228</v>
      </c>
      <c r="Q6" s="31">
        <v>22785</v>
      </c>
      <c r="R6" s="31">
        <v>18240</v>
      </c>
      <c r="S6" s="31">
        <v>14880</v>
      </c>
      <c r="T6" s="31">
        <v>14100</v>
      </c>
      <c r="U6" s="31">
        <v>23200</v>
      </c>
      <c r="V6" s="31">
        <v>16700</v>
      </c>
      <c r="W6" s="31">
        <v>18100</v>
      </c>
      <c r="X6" s="32">
        <v>17700</v>
      </c>
    </row>
    <row r="7" spans="1:24">
      <c r="A7" s="10" t="s">
        <v>25</v>
      </c>
      <c r="B7" s="15">
        <f t="shared" si="0"/>
        <v>0.29599394087034819</v>
      </c>
      <c r="C7" s="135">
        <v>-8830.1902859690963</v>
      </c>
      <c r="D7" s="1">
        <v>-3974.979414418347</v>
      </c>
      <c r="E7" s="120">
        <v>59985.188216874398</v>
      </c>
      <c r="F7" s="31">
        <v>46285.083845832072</v>
      </c>
      <c r="G7" s="31">
        <v>60324.758954420118</v>
      </c>
      <c r="H7" s="31">
        <v>59121.315298786802</v>
      </c>
      <c r="I7" s="31">
        <v>96018</v>
      </c>
      <c r="J7" s="31">
        <v>39119</v>
      </c>
      <c r="K7" s="31">
        <v>85350</v>
      </c>
      <c r="L7" s="31">
        <v>86480</v>
      </c>
      <c r="M7" s="31">
        <v>9812</v>
      </c>
      <c r="N7" s="31">
        <v>66640</v>
      </c>
      <c r="O7" s="64">
        <v>95567</v>
      </c>
      <c r="P7" s="64">
        <v>100024</v>
      </c>
      <c r="Q7" s="64">
        <v>69685</v>
      </c>
      <c r="R7" s="64">
        <v>57762</v>
      </c>
      <c r="S7" s="64">
        <v>50600</v>
      </c>
      <c r="T7" s="64">
        <v>61200</v>
      </c>
      <c r="U7" s="64">
        <v>94000</v>
      </c>
      <c r="V7" s="64">
        <v>113000</v>
      </c>
      <c r="W7" s="31">
        <v>94900</v>
      </c>
      <c r="X7" s="32">
        <v>124400</v>
      </c>
    </row>
    <row r="8" spans="1:24">
      <c r="A8" s="9" t="s">
        <v>24</v>
      </c>
      <c r="B8" s="15">
        <f t="shared" si="0"/>
        <v>0.31835677450463018</v>
      </c>
      <c r="C8" s="135">
        <v>-6567.2616790902939</v>
      </c>
      <c r="D8" s="1">
        <v>-1738.5640162457876</v>
      </c>
      <c r="E8" s="120">
        <v>19085</v>
      </c>
      <c r="F8" s="31">
        <v>14476.354480881057</v>
      </c>
      <c r="G8" s="31">
        <v>19951.701304787199</v>
      </c>
      <c r="H8" s="31">
        <v>19675.944897530986</v>
      </c>
      <c r="I8" s="31">
        <v>26805</v>
      </c>
      <c r="J8" s="31">
        <v>15190</v>
      </c>
      <c r="K8" s="31">
        <v>38781</v>
      </c>
      <c r="L8" s="31">
        <v>44450</v>
      </c>
      <c r="M8" s="31">
        <v>5743</v>
      </c>
      <c r="N8" s="31">
        <v>38758</v>
      </c>
      <c r="O8" s="64">
        <v>46155</v>
      </c>
      <c r="P8" s="64">
        <v>55977</v>
      </c>
      <c r="Q8" s="64">
        <v>35151</v>
      </c>
      <c r="R8" s="64">
        <v>37369</v>
      </c>
      <c r="S8" s="64">
        <v>37000</v>
      </c>
      <c r="T8" s="64">
        <v>30200</v>
      </c>
      <c r="U8" s="64">
        <v>36000</v>
      </c>
      <c r="V8" s="64">
        <v>41600</v>
      </c>
      <c r="W8" s="31">
        <v>38500</v>
      </c>
      <c r="X8" s="32">
        <v>37100</v>
      </c>
    </row>
    <row r="9" spans="1:24" ht="13.8" thickBot="1">
      <c r="A9" s="116" t="s">
        <v>57</v>
      </c>
      <c r="B9" s="16">
        <f t="shared" si="0"/>
        <v>0.33844589441572748</v>
      </c>
      <c r="C9" s="145">
        <v>-3668</v>
      </c>
      <c r="D9" s="7">
        <v>-10673</v>
      </c>
      <c r="E9" s="121">
        <v>31590</v>
      </c>
      <c r="F9" s="35">
        <v>23602</v>
      </c>
      <c r="G9" s="35">
        <v>28748</v>
      </c>
      <c r="H9" s="35">
        <v>26121</v>
      </c>
      <c r="I9" s="35">
        <v>25112</v>
      </c>
      <c r="J9" s="35">
        <v>22669</v>
      </c>
      <c r="K9" s="35">
        <v>21201</v>
      </c>
      <c r="L9" s="35">
        <v>26951</v>
      </c>
      <c r="M9" s="35">
        <v>5763</v>
      </c>
      <c r="N9" s="35">
        <v>10294</v>
      </c>
      <c r="O9" s="65">
        <v>25469</v>
      </c>
      <c r="P9" s="65">
        <v>19879</v>
      </c>
      <c r="Q9" s="65">
        <v>17538</v>
      </c>
      <c r="R9" s="65">
        <v>13614</v>
      </c>
      <c r="S9" s="65">
        <v>30000</v>
      </c>
      <c r="T9" s="65">
        <v>15800</v>
      </c>
      <c r="U9" s="65">
        <v>12100</v>
      </c>
      <c r="V9" s="65">
        <v>29300</v>
      </c>
      <c r="W9" s="35">
        <v>22500</v>
      </c>
      <c r="X9" s="36">
        <v>3650</v>
      </c>
    </row>
    <row r="10" spans="1:24" ht="13.8" thickBot="1">
      <c r="A10" s="19" t="s">
        <v>21</v>
      </c>
      <c r="B10" s="20">
        <f t="shared" si="0"/>
        <v>0.34233602027313559</v>
      </c>
      <c r="C10" s="146">
        <v>-23695.996531117795</v>
      </c>
      <c r="D10" s="21">
        <v>-17916.548224238941</v>
      </c>
      <c r="E10" s="137">
        <f t="shared" ref="E10" si="1">SUM(E2:E9)</f>
        <v>129301.74124941972</v>
      </c>
      <c r="F10" s="50">
        <f t="shared" ref="F10:K10" si="2">SUM(F2:F9)</f>
        <v>96325.911915192206</v>
      </c>
      <c r="G10" s="50">
        <f t="shared" si="2"/>
        <v>129829.90113818999</v>
      </c>
      <c r="H10" s="50">
        <f t="shared" si="2"/>
        <v>119718.8894735458</v>
      </c>
      <c r="I10" s="50">
        <f t="shared" si="2"/>
        <v>168195</v>
      </c>
      <c r="J10" s="50">
        <f t="shared" si="2"/>
        <v>91733</v>
      </c>
      <c r="K10" s="50">
        <f t="shared" si="2"/>
        <v>171317</v>
      </c>
      <c r="L10" s="50">
        <v>187712</v>
      </c>
      <c r="M10" s="50">
        <v>33761</v>
      </c>
      <c r="N10" s="50">
        <f>SUM(N2:N9)</f>
        <v>135162</v>
      </c>
      <c r="O10" s="50">
        <f>SUM(O2:O9)</f>
        <v>199542</v>
      </c>
      <c r="P10" s="50">
        <f>SUM(P2:P9)</f>
        <v>207617</v>
      </c>
      <c r="Q10" s="50">
        <f>SUM(Q2:Q9)</f>
        <v>149510</v>
      </c>
      <c r="R10" s="50">
        <f>SUM(R2:R9)</f>
        <v>131265</v>
      </c>
      <c r="S10" s="50">
        <f t="shared" ref="S10:X10" si="3">SUM(S2:S9)</f>
        <v>138040</v>
      </c>
      <c r="T10" s="50">
        <f t="shared" si="3"/>
        <v>122500</v>
      </c>
      <c r="U10" s="50">
        <f t="shared" si="3"/>
        <v>170000</v>
      </c>
      <c r="V10" s="50">
        <f t="shared" si="3"/>
        <v>207300</v>
      </c>
      <c r="W10" s="50">
        <f t="shared" si="3"/>
        <v>182600</v>
      </c>
      <c r="X10" s="51">
        <f t="shared" si="3"/>
        <v>192800</v>
      </c>
    </row>
    <row r="11" spans="1:24">
      <c r="A11" t="s">
        <v>104</v>
      </c>
      <c r="B11" s="22"/>
      <c r="C11" s="22"/>
      <c r="D11" s="22"/>
      <c r="E11" s="22"/>
      <c r="F11" s="52"/>
      <c r="G11" s="52"/>
      <c r="H11" s="52"/>
      <c r="I11" s="52"/>
      <c r="J11" s="52"/>
      <c r="K11" s="52"/>
      <c r="L11" s="52"/>
      <c r="M11" s="52"/>
      <c r="N11" s="52"/>
    </row>
    <row r="12" spans="1:24">
      <c r="A12" s="26" t="s">
        <v>155</v>
      </c>
      <c r="B12" s="22"/>
      <c r="C12" s="22"/>
      <c r="D12" s="22"/>
      <c r="E12" s="22"/>
      <c r="F12" s="52"/>
      <c r="G12" s="52"/>
      <c r="H12" s="52"/>
      <c r="I12" s="52"/>
      <c r="J12" s="52"/>
      <c r="K12" s="52"/>
      <c r="L12" s="52"/>
      <c r="M12" s="52"/>
      <c r="N12" s="52"/>
    </row>
    <row r="13" spans="1:24" ht="13.8" thickBot="1">
      <c r="B13" s="22"/>
      <c r="C13" s="22"/>
      <c r="D13" s="22"/>
      <c r="E13" s="22"/>
      <c r="F13" s="52"/>
      <c r="G13" s="52"/>
      <c r="H13" s="52"/>
      <c r="I13" s="52"/>
      <c r="J13" s="52"/>
      <c r="K13" s="52"/>
      <c r="L13" s="52"/>
      <c r="M13" s="52"/>
      <c r="N13" s="52"/>
    </row>
    <row r="14" spans="1:24" ht="13.8" thickBot="1">
      <c r="A14" s="11" t="s">
        <v>23</v>
      </c>
      <c r="B14" s="12" t="s">
        <v>169</v>
      </c>
      <c r="C14" s="132" t="s">
        <v>170</v>
      </c>
      <c r="D14" s="133" t="s">
        <v>168</v>
      </c>
      <c r="E14" s="134">
        <v>45992</v>
      </c>
      <c r="F14" s="13">
        <v>45627</v>
      </c>
      <c r="G14" s="13">
        <v>45261</v>
      </c>
      <c r="H14" s="13">
        <v>44896</v>
      </c>
      <c r="I14" s="13">
        <v>44531</v>
      </c>
      <c r="J14" s="13">
        <v>44166</v>
      </c>
      <c r="K14" s="13">
        <v>43800</v>
      </c>
      <c r="L14" s="13">
        <v>43435</v>
      </c>
      <c r="M14" s="13">
        <v>43070</v>
      </c>
      <c r="N14" s="13">
        <v>42705</v>
      </c>
      <c r="O14" s="28">
        <f>O1</f>
        <v>42339</v>
      </c>
      <c r="P14" s="28">
        <f>P1</f>
        <v>41974</v>
      </c>
      <c r="Q14" s="28">
        <v>41609</v>
      </c>
      <c r="R14" s="28">
        <v>41244</v>
      </c>
      <c r="S14" s="28">
        <v>40878</v>
      </c>
      <c r="T14" s="28">
        <v>40513</v>
      </c>
      <c r="U14" s="28">
        <v>40148</v>
      </c>
      <c r="V14" s="28">
        <v>39783</v>
      </c>
      <c r="W14" s="28">
        <v>39417</v>
      </c>
      <c r="X14" s="44">
        <v>39052</v>
      </c>
    </row>
    <row r="15" spans="1:24">
      <c r="A15" s="9" t="s">
        <v>6</v>
      </c>
      <c r="B15" s="15">
        <f t="shared" ref="B15:B20" si="4">IFERROR(((E15-F15)/F15),"")</f>
        <v>0.38343218197384821</v>
      </c>
      <c r="C15" s="135">
        <v>-34831.694136096456</v>
      </c>
      <c r="D15" s="1">
        <v>-20343.78375225031</v>
      </c>
      <c r="E15" s="120">
        <v>251636.61815768952</v>
      </c>
      <c r="F15" s="31">
        <v>181892.9915297043</v>
      </c>
      <c r="G15" s="31">
        <v>256752.00554718895</v>
      </c>
      <c r="H15" s="31">
        <v>205934.67908024386</v>
      </c>
      <c r="I15" s="31">
        <v>237934</v>
      </c>
      <c r="J15" s="31">
        <v>262524</v>
      </c>
      <c r="K15" s="31">
        <v>201868</v>
      </c>
      <c r="L15" s="31">
        <v>249675</v>
      </c>
      <c r="M15" s="31">
        <v>189864</v>
      </c>
      <c r="N15" s="47">
        <v>217140</v>
      </c>
      <c r="O15" s="31">
        <v>253418</v>
      </c>
      <c r="P15" s="31">
        <v>226928</v>
      </c>
      <c r="Q15" s="31">
        <v>194785</v>
      </c>
      <c r="R15" s="31">
        <v>134224</v>
      </c>
      <c r="S15" s="31">
        <v>172000</v>
      </c>
      <c r="T15" s="31">
        <v>138400</v>
      </c>
      <c r="U15" s="31">
        <v>132700</v>
      </c>
      <c r="V15" s="31">
        <v>66300</v>
      </c>
      <c r="W15" s="31">
        <v>119800</v>
      </c>
      <c r="X15" s="32">
        <v>128800</v>
      </c>
    </row>
    <row r="16" spans="1:24">
      <c r="A16" s="9" t="s">
        <v>105</v>
      </c>
      <c r="B16" s="15">
        <f t="shared" si="4"/>
        <v>1.8202466713135952</v>
      </c>
      <c r="C16" s="135">
        <v>-2131.7803029385186</v>
      </c>
      <c r="D16" s="1">
        <v>-785.04357944385856</v>
      </c>
      <c r="E16" s="120">
        <v>4702.7524205377413</v>
      </c>
      <c r="F16" s="31">
        <v>1667.4968428727284</v>
      </c>
      <c r="G16" s="31">
        <v>4306.2527536912194</v>
      </c>
      <c r="H16" s="31">
        <v>3976.6736791582753</v>
      </c>
      <c r="I16" s="31">
        <v>5840</v>
      </c>
      <c r="J16" s="31">
        <v>8578</v>
      </c>
      <c r="K16" s="31">
        <v>4390</v>
      </c>
      <c r="L16" s="31">
        <v>9015</v>
      </c>
      <c r="M16" s="31">
        <v>1936</v>
      </c>
      <c r="N16" s="31">
        <v>6723</v>
      </c>
      <c r="O16" s="31">
        <v>13248</v>
      </c>
      <c r="P16" s="31">
        <v>12130</v>
      </c>
      <c r="Q16" s="31">
        <v>10040</v>
      </c>
      <c r="R16" s="31">
        <v>1232</v>
      </c>
      <c r="S16" s="31">
        <v>7000</v>
      </c>
      <c r="T16" s="31">
        <v>5100</v>
      </c>
      <c r="U16" s="31">
        <v>9400</v>
      </c>
      <c r="V16" s="31">
        <v>200</v>
      </c>
      <c r="W16" s="31">
        <v>5300</v>
      </c>
      <c r="X16" s="32">
        <v>5000</v>
      </c>
    </row>
    <row r="17" spans="1:25">
      <c r="A17" s="80" t="s">
        <v>154</v>
      </c>
      <c r="B17" s="15" t="str">
        <f t="shared" si="4"/>
        <v/>
      </c>
      <c r="C17" s="135">
        <v>-77.630825999854324</v>
      </c>
      <c r="D17" s="1">
        <v>0</v>
      </c>
      <c r="E17" s="120">
        <v>0</v>
      </c>
      <c r="F17" s="31">
        <v>0</v>
      </c>
      <c r="G17" s="31">
        <v>52</v>
      </c>
      <c r="H17" s="31">
        <v>0</v>
      </c>
      <c r="I17" s="31">
        <v>0</v>
      </c>
      <c r="J17" s="31">
        <v>492</v>
      </c>
      <c r="K17" s="31">
        <v>773</v>
      </c>
      <c r="L17" s="31">
        <v>231</v>
      </c>
      <c r="M17" s="31">
        <v>300</v>
      </c>
      <c r="N17" s="31">
        <v>734</v>
      </c>
      <c r="O17" s="31">
        <v>226</v>
      </c>
      <c r="P17" s="31">
        <v>38</v>
      </c>
      <c r="Q17" s="31">
        <v>1202</v>
      </c>
      <c r="R17" s="31">
        <v>1441</v>
      </c>
      <c r="S17" s="31"/>
      <c r="T17" s="31"/>
      <c r="U17" s="31"/>
      <c r="V17" s="31"/>
      <c r="W17" s="31"/>
      <c r="X17" s="32"/>
    </row>
    <row r="18" spans="1:25">
      <c r="A18" s="80" t="s">
        <v>162</v>
      </c>
      <c r="B18" s="49">
        <f t="shared" si="4"/>
        <v>0.34575272247429789</v>
      </c>
      <c r="C18" s="165">
        <v>-1031.7650901453856</v>
      </c>
      <c r="D18" s="31">
        <v>-693.270466752125</v>
      </c>
      <c r="E18" s="125">
        <v>1144.3932019710244</v>
      </c>
      <c r="F18" s="31">
        <v>850.37405673379999</v>
      </c>
      <c r="G18" s="31">
        <v>1257.1236519794295</v>
      </c>
      <c r="H18" s="31">
        <v>3255.1296601144491</v>
      </c>
      <c r="I18" s="31">
        <v>2464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2"/>
    </row>
    <row r="19" spans="1:25" ht="13.8" thickBot="1">
      <c r="A19" s="18" t="s">
        <v>5</v>
      </c>
      <c r="B19" s="16">
        <f t="shared" si="4"/>
        <v>0.24382608695652175</v>
      </c>
      <c r="C19" s="145">
        <v>-1554</v>
      </c>
      <c r="D19" s="7">
        <v>-3698</v>
      </c>
      <c r="E19" s="121">
        <v>3576</v>
      </c>
      <c r="F19" s="31">
        <v>2875</v>
      </c>
      <c r="G19" s="31">
        <v>3996</v>
      </c>
      <c r="H19" s="31">
        <v>7878.19993785923</v>
      </c>
      <c r="I19" s="31">
        <v>3211</v>
      </c>
      <c r="J19" s="31">
        <v>7493</v>
      </c>
      <c r="K19" s="31">
        <v>6644</v>
      </c>
      <c r="L19" s="31">
        <v>7969</v>
      </c>
      <c r="M19" s="31">
        <v>2785</v>
      </c>
      <c r="N19" s="31">
        <v>3385</v>
      </c>
      <c r="O19" s="31">
        <v>3215</v>
      </c>
      <c r="P19" s="31">
        <v>5874</v>
      </c>
      <c r="Q19" s="31">
        <v>3874</v>
      </c>
      <c r="R19" s="31">
        <v>242</v>
      </c>
      <c r="S19" s="31">
        <v>980</v>
      </c>
      <c r="T19" s="31">
        <v>800</v>
      </c>
      <c r="U19" s="31">
        <v>1000</v>
      </c>
      <c r="V19" s="31">
        <v>800</v>
      </c>
      <c r="W19" s="31">
        <v>1400</v>
      </c>
      <c r="X19" s="32">
        <v>3600</v>
      </c>
    </row>
    <row r="20" spans="1:25" ht="13.8" thickBot="1">
      <c r="A20" s="19" t="s">
        <v>21</v>
      </c>
      <c r="B20" s="20">
        <f t="shared" si="4"/>
        <v>0.39391067961006765</v>
      </c>
      <c r="C20" s="146">
        <v>-39626.870355180174</v>
      </c>
      <c r="D20" s="21">
        <v>-25520.097798446281</v>
      </c>
      <c r="E20" s="137">
        <f t="shared" ref="E20" si="5">SUM(E15:E19)</f>
        <v>261059.76378019829</v>
      </c>
      <c r="F20" s="39">
        <f t="shared" ref="F20:K20" si="6">SUM(F15:F19)</f>
        <v>187285.86242931083</v>
      </c>
      <c r="G20" s="39">
        <f t="shared" si="6"/>
        <v>266363.38195285958</v>
      </c>
      <c r="H20" s="39">
        <f t="shared" si="6"/>
        <v>221044.6823573758</v>
      </c>
      <c r="I20" s="39">
        <f t="shared" si="6"/>
        <v>249449</v>
      </c>
      <c r="J20" s="39">
        <f t="shared" si="6"/>
        <v>279087</v>
      </c>
      <c r="K20" s="39">
        <f t="shared" si="6"/>
        <v>213675</v>
      </c>
      <c r="L20" s="39">
        <v>266890</v>
      </c>
      <c r="M20" s="39">
        <v>194885</v>
      </c>
      <c r="N20" s="39">
        <f>SUM(N15:N19)</f>
        <v>227982</v>
      </c>
      <c r="O20" s="39">
        <f>SUM(O15:O19)</f>
        <v>270107</v>
      </c>
      <c r="P20" s="39">
        <f>SUM(P15:P19)</f>
        <v>244970</v>
      </c>
      <c r="Q20" s="39">
        <f>SUM(Q15:Q19)</f>
        <v>209901</v>
      </c>
      <c r="R20" s="39">
        <f>SUM(R15:R19)</f>
        <v>137139</v>
      </c>
      <c r="S20" s="39">
        <f t="shared" ref="S20:X20" si="7">SUM(S15:S19)</f>
        <v>179980</v>
      </c>
      <c r="T20" s="39">
        <f t="shared" si="7"/>
        <v>144300</v>
      </c>
      <c r="U20" s="39">
        <f t="shared" si="7"/>
        <v>143100</v>
      </c>
      <c r="V20" s="39">
        <f t="shared" si="7"/>
        <v>67300</v>
      </c>
      <c r="W20" s="39">
        <f t="shared" si="7"/>
        <v>126500</v>
      </c>
      <c r="X20" s="40">
        <f t="shared" si="7"/>
        <v>137400</v>
      </c>
    </row>
    <row r="27" spans="1:25" ht="17.399999999999999">
      <c r="W27" s="66"/>
      <c r="X27" s="31"/>
      <c r="Y27" s="31"/>
    </row>
    <row r="28" spans="1:25" ht="17.399999999999999">
      <c r="W28" s="66"/>
      <c r="X28" s="31"/>
      <c r="Y28" s="31"/>
    </row>
    <row r="29" spans="1:25" ht="17.399999999999999">
      <c r="W29" s="66"/>
      <c r="X29" s="31"/>
      <c r="Y29" s="31"/>
    </row>
    <row r="30" spans="1:25" ht="17.399999999999999">
      <c r="W30" s="66"/>
      <c r="X30" s="31"/>
      <c r="Y30" s="31"/>
    </row>
    <row r="31" spans="1:25" ht="17.399999999999999">
      <c r="W31" s="66"/>
      <c r="X31" s="31"/>
      <c r="Y31" s="31"/>
    </row>
    <row r="32" spans="1:25" ht="17.399999999999999">
      <c r="W32" s="66"/>
      <c r="X32" s="31"/>
      <c r="Y32" s="31"/>
    </row>
    <row r="33" spans="23:25" ht="17.399999999999999">
      <c r="W33" s="66"/>
      <c r="X33" s="31"/>
      <c r="Y33" s="31"/>
    </row>
    <row r="34" spans="23:25" ht="17.399999999999999">
      <c r="W34" s="66"/>
      <c r="X34" s="31"/>
      <c r="Y34" s="31"/>
    </row>
    <row r="35" spans="23:25" ht="17.399999999999999">
      <c r="W35" s="66"/>
      <c r="X35" s="31"/>
      <c r="Y35" s="31"/>
    </row>
    <row r="36" spans="23:25" ht="17.399999999999999">
      <c r="W36" s="66"/>
      <c r="X36" s="31"/>
      <c r="Y36" s="31"/>
    </row>
    <row r="37" spans="23:25" ht="17.399999999999999">
      <c r="W37" s="67"/>
      <c r="X37" s="31"/>
      <c r="Y37" s="31"/>
    </row>
    <row r="38" spans="23:25" ht="18">
      <c r="W38" s="68"/>
      <c r="X38" s="60"/>
      <c r="Y38" s="60"/>
    </row>
  </sheetData>
  <conditionalFormatting sqref="E1">
    <cfRule type="expression" dxfId="23" priority="2">
      <formula>ISBLANK(XFD1)=FALSE</formula>
    </cfRule>
  </conditionalFormatting>
  <conditionalFormatting sqref="E14">
    <cfRule type="expression" dxfId="22" priority="1">
      <formula>ISBLANK(XFD14)=FALSE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1"/>
  <sheetViews>
    <sheetView workbookViewId="0"/>
  </sheetViews>
  <sheetFormatPr defaultColWidth="9.109375" defaultRowHeight="13.2"/>
  <cols>
    <col min="1" max="1" width="19.109375" customWidth="1"/>
    <col min="2" max="2" width="10.6640625" customWidth="1"/>
    <col min="3" max="3" width="11.6640625" bestFit="1" customWidth="1"/>
    <col min="4" max="4" width="11.33203125" style="177" bestFit="1" customWidth="1"/>
    <col min="5" max="5" width="11.33203125" style="177" customWidth="1"/>
    <col min="6" max="13" width="10.6640625" style="26" customWidth="1"/>
    <col min="14" max="24" width="10.109375" style="26" bestFit="1" customWidth="1"/>
    <col min="25" max="16384" width="9.109375" style="26"/>
  </cols>
  <sheetData>
    <row r="1" spans="1:24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28">
        <v>39783</v>
      </c>
      <c r="W1" s="28">
        <v>39417</v>
      </c>
      <c r="X1" s="44">
        <v>39052</v>
      </c>
    </row>
    <row r="2" spans="1:24">
      <c r="A2" s="80" t="s">
        <v>10</v>
      </c>
      <c r="B2" s="15">
        <f t="shared" ref="B2:B12" si="0">IFERROR(((E2-F2)/F2),"")</f>
        <v>1.3568644434820269</v>
      </c>
      <c r="C2" s="135">
        <v>1578</v>
      </c>
      <c r="D2" s="88">
        <v>-254</v>
      </c>
      <c r="E2" s="126">
        <v>5442</v>
      </c>
      <c r="F2" s="106">
        <v>2309</v>
      </c>
      <c r="G2" s="106">
        <v>6075</v>
      </c>
      <c r="H2" s="106">
        <v>8500</v>
      </c>
      <c r="I2" s="106">
        <v>5705</v>
      </c>
      <c r="J2" s="106">
        <v>5488</v>
      </c>
      <c r="K2" s="108">
        <v>5031</v>
      </c>
      <c r="L2" s="106">
        <v>4820</v>
      </c>
      <c r="M2" s="106">
        <v>2625</v>
      </c>
      <c r="N2" s="100"/>
      <c r="O2" s="95"/>
      <c r="P2" s="95"/>
      <c r="Q2" s="95"/>
      <c r="R2" s="95"/>
      <c r="S2" s="95"/>
      <c r="T2" s="95"/>
      <c r="U2" s="95"/>
      <c r="V2" s="95"/>
      <c r="W2" s="95"/>
      <c r="X2" s="96"/>
    </row>
    <row r="3" spans="1:24">
      <c r="A3" s="9" t="s">
        <v>8</v>
      </c>
      <c r="B3" s="15">
        <f t="shared" si="0"/>
        <v>1.8867411658109332</v>
      </c>
      <c r="C3" s="135">
        <v>-178</v>
      </c>
      <c r="D3" s="97">
        <v>-1024</v>
      </c>
      <c r="E3" s="119">
        <v>9558</v>
      </c>
      <c r="F3" s="31">
        <v>3311</v>
      </c>
      <c r="G3" s="31">
        <v>7942</v>
      </c>
      <c r="H3" s="31">
        <v>8412</v>
      </c>
      <c r="I3" s="31">
        <v>6256</v>
      </c>
      <c r="J3" s="31">
        <v>7123</v>
      </c>
      <c r="K3" s="31">
        <v>4317</v>
      </c>
      <c r="L3" s="73">
        <v>5649</v>
      </c>
      <c r="M3" s="73">
        <v>4527</v>
      </c>
      <c r="N3" s="1">
        <v>4195</v>
      </c>
      <c r="O3" s="31">
        <v>4920</v>
      </c>
      <c r="P3" s="31">
        <v>1694</v>
      </c>
      <c r="Q3" s="31">
        <v>2090</v>
      </c>
      <c r="R3" s="31">
        <v>563</v>
      </c>
      <c r="S3" s="31">
        <v>319</v>
      </c>
      <c r="T3" s="31">
        <v>278</v>
      </c>
      <c r="U3" s="31">
        <v>414</v>
      </c>
      <c r="V3" s="31">
        <v>238</v>
      </c>
      <c r="W3" s="31">
        <v>162</v>
      </c>
      <c r="X3" s="32">
        <v>123</v>
      </c>
    </row>
    <row r="4" spans="1:24">
      <c r="A4" s="9" t="s">
        <v>13</v>
      </c>
      <c r="B4" s="15">
        <f t="shared" si="0"/>
        <v>2.34375E-2</v>
      </c>
      <c r="C4" s="135">
        <v>22</v>
      </c>
      <c r="D4" s="97">
        <v>-26</v>
      </c>
      <c r="E4" s="119">
        <v>131</v>
      </c>
      <c r="F4" s="31">
        <v>128</v>
      </c>
      <c r="G4" s="31">
        <v>55</v>
      </c>
      <c r="H4" s="31">
        <v>426</v>
      </c>
      <c r="I4" s="31">
        <v>303</v>
      </c>
      <c r="J4" s="31">
        <v>1003</v>
      </c>
      <c r="K4" s="31">
        <v>241</v>
      </c>
      <c r="L4" s="73">
        <v>1577</v>
      </c>
      <c r="M4" s="73">
        <v>664</v>
      </c>
      <c r="N4" s="1">
        <v>465</v>
      </c>
      <c r="O4" s="31">
        <v>958</v>
      </c>
      <c r="P4" s="31">
        <v>1533</v>
      </c>
      <c r="Q4" s="31">
        <v>1339</v>
      </c>
      <c r="R4" s="31">
        <v>1833</v>
      </c>
      <c r="S4" s="31">
        <v>1515</v>
      </c>
      <c r="T4" s="31">
        <v>1754</v>
      </c>
      <c r="U4" s="31">
        <v>1771</v>
      </c>
      <c r="V4" s="31">
        <v>2317</v>
      </c>
      <c r="W4" s="31">
        <v>1558</v>
      </c>
      <c r="X4" s="32">
        <v>2109</v>
      </c>
    </row>
    <row r="5" spans="1:24">
      <c r="A5" s="9" t="s">
        <v>2</v>
      </c>
      <c r="B5" s="15">
        <f t="shared" si="0"/>
        <v>1.0646129225845169</v>
      </c>
      <c r="C5" s="135">
        <v>-1028</v>
      </c>
      <c r="D5" s="97">
        <v>-909</v>
      </c>
      <c r="E5" s="119">
        <v>10321</v>
      </c>
      <c r="F5" s="31">
        <v>4999</v>
      </c>
      <c r="G5" s="31">
        <v>12141</v>
      </c>
      <c r="H5" s="31">
        <v>15352</v>
      </c>
      <c r="I5" s="31">
        <v>11946</v>
      </c>
      <c r="J5" s="31">
        <v>15610</v>
      </c>
      <c r="K5" s="31">
        <v>12615</v>
      </c>
      <c r="L5" s="73">
        <v>17603</v>
      </c>
      <c r="M5" s="73">
        <v>15295</v>
      </c>
      <c r="N5" s="1">
        <v>14566</v>
      </c>
      <c r="O5" s="31">
        <v>16840</v>
      </c>
      <c r="P5" s="31">
        <v>17838</v>
      </c>
      <c r="Q5" s="31">
        <v>11485</v>
      </c>
      <c r="R5" s="31">
        <v>9464</v>
      </c>
      <c r="S5" s="31">
        <v>10437</v>
      </c>
      <c r="T5" s="31">
        <v>6423</v>
      </c>
      <c r="U5" s="31">
        <v>9715</v>
      </c>
      <c r="V5" s="31">
        <v>10292</v>
      </c>
      <c r="W5" s="31">
        <v>7097</v>
      </c>
      <c r="X5" s="32">
        <v>5074</v>
      </c>
    </row>
    <row r="6" spans="1:24">
      <c r="A6" s="9" t="s">
        <v>9</v>
      </c>
      <c r="B6" s="15">
        <f t="shared" si="0"/>
        <v>1.9852941176470589</v>
      </c>
      <c r="C6" s="135">
        <v>820</v>
      </c>
      <c r="D6" s="97">
        <v>-802</v>
      </c>
      <c r="E6" s="119">
        <v>3045</v>
      </c>
      <c r="F6" s="31">
        <v>1020</v>
      </c>
      <c r="G6" s="31">
        <v>3919</v>
      </c>
      <c r="H6" s="31">
        <v>7278</v>
      </c>
      <c r="I6" s="31">
        <v>7822</v>
      </c>
      <c r="J6" s="31">
        <v>7531</v>
      </c>
      <c r="K6" s="31">
        <v>6363</v>
      </c>
      <c r="L6" s="73">
        <v>13049</v>
      </c>
      <c r="M6" s="73">
        <v>8343</v>
      </c>
      <c r="N6" s="1">
        <v>7737</v>
      </c>
      <c r="O6" s="31">
        <v>13178</v>
      </c>
      <c r="P6" s="31">
        <v>12300</v>
      </c>
      <c r="Q6" s="31">
        <v>11031</v>
      </c>
      <c r="R6" s="31">
        <v>15286</v>
      </c>
      <c r="S6" s="31">
        <v>7546</v>
      </c>
      <c r="T6" s="31">
        <v>12780</v>
      </c>
      <c r="U6" s="31">
        <v>17523</v>
      </c>
      <c r="V6" s="31">
        <v>19682</v>
      </c>
      <c r="W6" s="31">
        <v>13584</v>
      </c>
      <c r="X6" s="32">
        <v>18851</v>
      </c>
    </row>
    <row r="7" spans="1:24">
      <c r="A7" s="9" t="s">
        <v>25</v>
      </c>
      <c r="B7" s="143">
        <f t="shared" si="0"/>
        <v>8.9782986111111107</v>
      </c>
      <c r="C7" s="144">
        <v>2130</v>
      </c>
      <c r="D7" s="97">
        <v>-688</v>
      </c>
      <c r="E7" s="119">
        <v>11495</v>
      </c>
      <c r="F7" s="31">
        <v>1152</v>
      </c>
      <c r="G7" s="31">
        <v>7398</v>
      </c>
      <c r="H7" s="31">
        <v>12708</v>
      </c>
      <c r="I7" s="31">
        <v>11588</v>
      </c>
      <c r="J7" s="31">
        <v>8638</v>
      </c>
      <c r="K7" s="31">
        <v>4966</v>
      </c>
      <c r="L7" s="73">
        <v>11980</v>
      </c>
      <c r="M7" s="73">
        <v>5042</v>
      </c>
      <c r="N7" s="1">
        <v>5023</v>
      </c>
      <c r="O7" s="31">
        <v>8884</v>
      </c>
      <c r="P7" s="31">
        <v>7243</v>
      </c>
      <c r="Q7" s="31">
        <v>5800</v>
      </c>
      <c r="R7" s="31">
        <v>3977</v>
      </c>
      <c r="S7" s="31">
        <v>3155</v>
      </c>
      <c r="T7" s="31">
        <v>3143</v>
      </c>
      <c r="U7" s="31">
        <v>4802</v>
      </c>
      <c r="V7" s="31">
        <v>5891</v>
      </c>
      <c r="W7" s="31">
        <v>2709</v>
      </c>
      <c r="X7" s="32">
        <v>3342</v>
      </c>
    </row>
    <row r="8" spans="1:24">
      <c r="A8" s="9" t="s">
        <v>18</v>
      </c>
      <c r="B8" s="143">
        <f t="shared" si="0"/>
        <v>0.60383064516129037</v>
      </c>
      <c r="C8" s="144">
        <v>-38</v>
      </c>
      <c r="D8" s="97">
        <v>-101</v>
      </c>
      <c r="E8" s="119">
        <v>3182</v>
      </c>
      <c r="F8" s="31">
        <v>1984</v>
      </c>
      <c r="G8" s="31">
        <v>2111</v>
      </c>
      <c r="H8" s="31">
        <v>4231</v>
      </c>
      <c r="I8" s="31">
        <v>2386</v>
      </c>
      <c r="J8" s="31">
        <v>2082</v>
      </c>
      <c r="K8" s="31">
        <v>1817</v>
      </c>
      <c r="L8" s="73">
        <v>2447</v>
      </c>
      <c r="M8" s="73">
        <v>1191</v>
      </c>
      <c r="N8" s="1">
        <v>1389</v>
      </c>
      <c r="O8" s="31">
        <v>827</v>
      </c>
      <c r="P8" s="31">
        <v>925</v>
      </c>
      <c r="Q8" s="31">
        <v>249</v>
      </c>
      <c r="R8" s="31">
        <v>519</v>
      </c>
      <c r="S8" s="31">
        <v>113</v>
      </c>
      <c r="T8" s="31">
        <v>241</v>
      </c>
      <c r="U8" s="31">
        <v>23</v>
      </c>
      <c r="V8" s="31">
        <v>400</v>
      </c>
      <c r="W8" s="31">
        <v>159</v>
      </c>
      <c r="X8" s="32">
        <v>123</v>
      </c>
    </row>
    <row r="9" spans="1:24">
      <c r="A9" s="80" t="s">
        <v>87</v>
      </c>
      <c r="B9" s="143">
        <f t="shared" si="0"/>
        <v>0.74293059125964012</v>
      </c>
      <c r="C9" s="144">
        <v>15</v>
      </c>
      <c r="D9" s="97">
        <v>-308</v>
      </c>
      <c r="E9" s="119">
        <v>678</v>
      </c>
      <c r="F9" s="31">
        <v>389</v>
      </c>
      <c r="G9" s="31">
        <v>258</v>
      </c>
      <c r="H9" s="31">
        <v>769</v>
      </c>
      <c r="I9" s="31">
        <v>1641</v>
      </c>
      <c r="J9" s="31">
        <v>1830</v>
      </c>
      <c r="K9" s="31">
        <v>933</v>
      </c>
      <c r="L9" s="73">
        <v>2507</v>
      </c>
      <c r="M9" s="73">
        <v>1321</v>
      </c>
      <c r="N9" s="1">
        <v>2166</v>
      </c>
      <c r="O9" s="31">
        <v>2376</v>
      </c>
      <c r="P9" s="31">
        <v>2128</v>
      </c>
      <c r="Q9" s="31">
        <v>1347</v>
      </c>
      <c r="R9" s="31">
        <v>1498</v>
      </c>
      <c r="S9" s="31">
        <v>823</v>
      </c>
      <c r="T9" s="31">
        <v>964</v>
      </c>
      <c r="U9" s="31">
        <v>2146</v>
      </c>
      <c r="V9" s="31">
        <v>2080</v>
      </c>
      <c r="W9" s="31">
        <v>1555</v>
      </c>
      <c r="X9" s="32">
        <v>1967</v>
      </c>
    </row>
    <row r="10" spans="1:24">
      <c r="A10" s="9" t="s">
        <v>33</v>
      </c>
      <c r="B10" s="143" t="str">
        <f t="shared" si="0"/>
        <v/>
      </c>
      <c r="C10" s="144">
        <v>-6</v>
      </c>
      <c r="D10" s="97">
        <v>0</v>
      </c>
      <c r="E10" s="119">
        <v>0</v>
      </c>
      <c r="F10" s="31">
        <v>0</v>
      </c>
      <c r="G10" s="31">
        <v>0</v>
      </c>
      <c r="H10" s="31">
        <v>34</v>
      </c>
      <c r="I10" s="31">
        <v>32</v>
      </c>
      <c r="J10" s="31">
        <v>319</v>
      </c>
      <c r="K10" s="31">
        <v>88</v>
      </c>
      <c r="L10" s="73">
        <v>26</v>
      </c>
      <c r="M10" s="73">
        <v>35</v>
      </c>
      <c r="N10" s="1">
        <v>50</v>
      </c>
      <c r="O10" s="31">
        <v>104</v>
      </c>
      <c r="P10" s="31">
        <v>179</v>
      </c>
      <c r="Q10" s="31">
        <v>109</v>
      </c>
      <c r="R10" s="31">
        <v>573</v>
      </c>
      <c r="S10" s="31">
        <v>157</v>
      </c>
      <c r="T10" s="31">
        <v>124</v>
      </c>
      <c r="U10" s="31">
        <v>241</v>
      </c>
      <c r="V10" s="31">
        <v>344</v>
      </c>
      <c r="W10" s="31">
        <v>485</v>
      </c>
      <c r="X10" s="32">
        <v>280</v>
      </c>
    </row>
    <row r="11" spans="1:24" ht="13.8" thickBot="1">
      <c r="A11" s="116" t="s">
        <v>57</v>
      </c>
      <c r="B11" s="166">
        <f t="shared" si="0"/>
        <v>2.099340866290019</v>
      </c>
      <c r="C11" s="167">
        <v>3360</v>
      </c>
      <c r="D11" s="168">
        <v>-474</v>
      </c>
      <c r="E11" s="169">
        <f>4969+24+573+516+501</f>
        <v>6583</v>
      </c>
      <c r="F11" s="35">
        <v>2124</v>
      </c>
      <c r="G11" s="35">
        <v>4465</v>
      </c>
      <c r="H11" s="35">
        <v>7107</v>
      </c>
      <c r="I11" s="35">
        <v>5184</v>
      </c>
      <c r="J11" s="35">
        <v>5353</v>
      </c>
      <c r="K11" s="35">
        <v>4332</v>
      </c>
      <c r="L11" s="74">
        <v>6541</v>
      </c>
      <c r="M11" s="73">
        <v>2112</v>
      </c>
      <c r="N11" s="1">
        <v>7025</v>
      </c>
      <c r="O11" s="35">
        <v>7694</v>
      </c>
      <c r="P11" s="35">
        <v>5917</v>
      </c>
      <c r="Q11" s="35">
        <v>5929</v>
      </c>
      <c r="R11" s="35">
        <v>4853</v>
      </c>
      <c r="S11" s="35">
        <v>2159</v>
      </c>
      <c r="T11" s="35">
        <v>3988</v>
      </c>
      <c r="U11" s="35">
        <v>6062</v>
      </c>
      <c r="V11" s="35">
        <v>7423</v>
      </c>
      <c r="W11" s="35">
        <v>4622</v>
      </c>
      <c r="X11" s="36">
        <v>7300</v>
      </c>
    </row>
    <row r="12" spans="1:24" ht="13.8" thickBot="1">
      <c r="A12" s="19" t="s">
        <v>21</v>
      </c>
      <c r="B12" s="170">
        <f t="shared" si="0"/>
        <v>1.8959003215434083</v>
      </c>
      <c r="C12" s="171">
        <v>6675</v>
      </c>
      <c r="D12" s="172">
        <v>-4586</v>
      </c>
      <c r="E12" s="173">
        <f>SUM(E2:E11)</f>
        <v>50435</v>
      </c>
      <c r="F12" s="50">
        <f t="shared" ref="F12" si="1">SUM(F2:F11)</f>
        <v>17416</v>
      </c>
      <c r="G12" s="50">
        <f t="shared" ref="G12:K12" si="2">SUM(G2:G11)</f>
        <v>44364</v>
      </c>
      <c r="H12" s="50">
        <f t="shared" si="2"/>
        <v>64817</v>
      </c>
      <c r="I12" s="50">
        <f t="shared" si="2"/>
        <v>52863</v>
      </c>
      <c r="J12" s="50">
        <f t="shared" si="2"/>
        <v>54977</v>
      </c>
      <c r="K12" s="50">
        <f t="shared" si="2"/>
        <v>40703</v>
      </c>
      <c r="L12" s="75">
        <v>66199</v>
      </c>
      <c r="M12" s="102">
        <v>41155</v>
      </c>
      <c r="N12" s="101">
        <f>SUM(N3:N11)</f>
        <v>42616</v>
      </c>
      <c r="O12" s="50">
        <f>SUM(O3:O11)</f>
        <v>55781</v>
      </c>
      <c r="P12" s="50">
        <f>SUM(P3:P11)</f>
        <v>49757</v>
      </c>
      <c r="Q12" s="50">
        <f>SUM(Q3:Q11)</f>
        <v>39379</v>
      </c>
      <c r="R12" s="50">
        <f>SUM(R3:R11)</f>
        <v>38566</v>
      </c>
      <c r="S12" s="50">
        <f t="shared" ref="S12:X12" si="3">SUM(S3:S11)</f>
        <v>26224</v>
      </c>
      <c r="T12" s="50">
        <f t="shared" si="3"/>
        <v>29695</v>
      </c>
      <c r="U12" s="50">
        <f t="shared" si="3"/>
        <v>42697</v>
      </c>
      <c r="V12" s="50">
        <f t="shared" si="3"/>
        <v>48667</v>
      </c>
      <c r="W12" s="50">
        <f t="shared" si="3"/>
        <v>31931</v>
      </c>
      <c r="X12" s="51">
        <f t="shared" si="3"/>
        <v>39169</v>
      </c>
    </row>
    <row r="13" spans="1:24">
      <c r="B13" s="174"/>
      <c r="C13" s="174"/>
      <c r="D13" s="175"/>
      <c r="E13" s="175"/>
      <c r="F13" s="52"/>
      <c r="G13" s="52"/>
      <c r="H13" s="52"/>
      <c r="I13" s="52"/>
      <c r="J13" s="52"/>
      <c r="K13" s="52"/>
      <c r="L13" s="52"/>
      <c r="M13" s="52"/>
      <c r="N13" s="52"/>
    </row>
    <row r="14" spans="1:24" ht="13.8" thickBot="1">
      <c r="B14" s="176"/>
      <c r="C14" s="176"/>
    </row>
    <row r="15" spans="1:24" ht="13.8" thickBot="1">
      <c r="A15" s="27" t="s">
        <v>23</v>
      </c>
      <c r="B15" s="12" t="s">
        <v>169</v>
      </c>
      <c r="C15" s="132" t="s">
        <v>170</v>
      </c>
      <c r="D15" s="133" t="s">
        <v>168</v>
      </c>
      <c r="E15" s="134">
        <v>45992</v>
      </c>
      <c r="F15" s="13">
        <v>45627</v>
      </c>
      <c r="G15" s="13">
        <v>45261</v>
      </c>
      <c r="H15" s="13">
        <v>44896</v>
      </c>
      <c r="I15" s="13">
        <v>44531</v>
      </c>
      <c r="J15" s="13">
        <v>44166</v>
      </c>
      <c r="K15" s="13">
        <v>43800</v>
      </c>
      <c r="L15" s="13">
        <v>43435</v>
      </c>
      <c r="M15" s="13">
        <v>43070</v>
      </c>
      <c r="N15" s="13">
        <v>42705</v>
      </c>
      <c r="O15" s="28">
        <f>O1</f>
        <v>42339</v>
      </c>
      <c r="P15" s="28">
        <f>P1</f>
        <v>41974</v>
      </c>
      <c r="Q15" s="28">
        <v>41609</v>
      </c>
      <c r="R15" s="28">
        <v>41244</v>
      </c>
      <c r="S15" s="28">
        <v>40878</v>
      </c>
      <c r="T15" s="28">
        <v>40513</v>
      </c>
      <c r="U15" s="28">
        <v>40148</v>
      </c>
      <c r="V15" s="28">
        <v>39783</v>
      </c>
      <c r="W15" s="28">
        <v>39417</v>
      </c>
      <c r="X15" s="44">
        <v>39052</v>
      </c>
    </row>
    <row r="16" spans="1:24">
      <c r="A16" s="29" t="s">
        <v>6</v>
      </c>
      <c r="B16" s="160">
        <f t="shared" ref="B16:B21" si="4">IFERROR(((E16-F16)/F16),"")</f>
        <v>-0.15587392550143267</v>
      </c>
      <c r="C16" s="161">
        <v>1473</v>
      </c>
      <c r="D16" s="31">
        <v>-279</v>
      </c>
      <c r="E16" s="125">
        <v>1473</v>
      </c>
      <c r="F16" s="31">
        <v>1745</v>
      </c>
      <c r="G16" s="31">
        <v>1933</v>
      </c>
      <c r="H16" s="31">
        <v>1545</v>
      </c>
      <c r="I16" s="31">
        <v>864</v>
      </c>
      <c r="J16" s="31">
        <v>1789</v>
      </c>
      <c r="K16" s="31">
        <v>2630</v>
      </c>
      <c r="L16" s="73">
        <v>1335</v>
      </c>
      <c r="M16" s="73">
        <v>1444</v>
      </c>
      <c r="N16" s="31">
        <v>1016</v>
      </c>
      <c r="O16" s="31">
        <v>2954</v>
      </c>
      <c r="P16" s="31">
        <v>368</v>
      </c>
      <c r="Q16" s="31">
        <v>1537</v>
      </c>
      <c r="R16" s="31">
        <v>131</v>
      </c>
      <c r="S16" s="31">
        <v>705</v>
      </c>
      <c r="T16" s="31">
        <v>79</v>
      </c>
      <c r="U16" s="31">
        <v>141</v>
      </c>
      <c r="V16" s="31">
        <v>0</v>
      </c>
      <c r="W16" s="31">
        <v>0</v>
      </c>
      <c r="X16" s="32">
        <v>20</v>
      </c>
    </row>
    <row r="17" spans="1:25">
      <c r="A17" s="29" t="s">
        <v>40</v>
      </c>
      <c r="B17" s="160" t="str">
        <f t="shared" si="4"/>
        <v/>
      </c>
      <c r="C17" s="161">
        <v>303</v>
      </c>
      <c r="D17" s="31">
        <v>-80</v>
      </c>
      <c r="E17" s="125">
        <v>303</v>
      </c>
      <c r="F17" s="31">
        <v>0</v>
      </c>
      <c r="G17" s="31">
        <v>162</v>
      </c>
      <c r="H17" s="31">
        <v>40</v>
      </c>
      <c r="I17" s="31">
        <v>29</v>
      </c>
      <c r="J17" s="31">
        <v>39</v>
      </c>
      <c r="K17" s="31">
        <v>30</v>
      </c>
      <c r="L17" s="73">
        <v>19</v>
      </c>
      <c r="M17" s="73">
        <v>0</v>
      </c>
      <c r="N17" s="31">
        <v>31</v>
      </c>
      <c r="O17" s="31">
        <v>47</v>
      </c>
      <c r="P17" s="31">
        <v>2</v>
      </c>
      <c r="Q17" s="31">
        <v>84</v>
      </c>
      <c r="R17" s="31">
        <v>0</v>
      </c>
      <c r="S17" s="31">
        <v>57</v>
      </c>
      <c r="T17" s="31">
        <v>100</v>
      </c>
      <c r="U17" s="31">
        <v>10</v>
      </c>
      <c r="V17" s="31">
        <v>0</v>
      </c>
      <c r="W17" s="31">
        <v>0</v>
      </c>
      <c r="X17" s="32">
        <v>35</v>
      </c>
    </row>
    <row r="18" spans="1:25">
      <c r="A18" s="29" t="s">
        <v>151</v>
      </c>
      <c r="B18" s="160">
        <f t="shared" si="4"/>
        <v>0.7857142857142857</v>
      </c>
      <c r="C18" s="161">
        <v>125</v>
      </c>
      <c r="D18" s="31">
        <v>-38</v>
      </c>
      <c r="E18" s="125">
        <v>125</v>
      </c>
      <c r="F18" s="31">
        <v>70</v>
      </c>
      <c r="G18" s="31">
        <v>192</v>
      </c>
      <c r="H18" s="31">
        <v>150</v>
      </c>
      <c r="I18" s="31">
        <v>460</v>
      </c>
      <c r="J18" s="31">
        <v>520</v>
      </c>
      <c r="K18" s="31">
        <v>151</v>
      </c>
      <c r="L18" s="73">
        <v>315</v>
      </c>
      <c r="M18" s="73">
        <v>112</v>
      </c>
      <c r="N18" s="31">
        <v>170</v>
      </c>
      <c r="O18" s="31">
        <v>167</v>
      </c>
      <c r="P18" s="31">
        <v>70</v>
      </c>
      <c r="Q18" s="31">
        <v>145</v>
      </c>
      <c r="R18" s="31">
        <v>143</v>
      </c>
      <c r="S18" s="31"/>
      <c r="T18" s="31"/>
      <c r="U18" s="31"/>
      <c r="V18" s="31"/>
      <c r="W18" s="31"/>
      <c r="X18" s="32"/>
    </row>
    <row r="19" spans="1:25">
      <c r="A19" s="29" t="s">
        <v>152</v>
      </c>
      <c r="B19" s="160">
        <f t="shared" si="4"/>
        <v>227.33333333333334</v>
      </c>
      <c r="C19" s="161">
        <v>685</v>
      </c>
      <c r="D19" s="31">
        <v>-21</v>
      </c>
      <c r="E19" s="125">
        <v>685</v>
      </c>
      <c r="F19" s="31">
        <v>3</v>
      </c>
      <c r="G19" s="31">
        <v>97</v>
      </c>
      <c r="H19" s="31">
        <v>143</v>
      </c>
      <c r="I19" s="31">
        <v>408</v>
      </c>
      <c r="J19" s="31">
        <v>1007</v>
      </c>
      <c r="K19" s="31">
        <v>381</v>
      </c>
      <c r="L19" s="73">
        <v>469</v>
      </c>
      <c r="M19" s="73">
        <v>154</v>
      </c>
      <c r="N19" s="31">
        <v>149</v>
      </c>
      <c r="O19" s="31">
        <v>1086</v>
      </c>
      <c r="P19" s="31">
        <v>60</v>
      </c>
      <c r="Q19" s="31">
        <v>788</v>
      </c>
      <c r="R19" s="31">
        <v>484</v>
      </c>
      <c r="S19" s="31"/>
      <c r="T19" s="31"/>
      <c r="U19" s="31"/>
      <c r="V19" s="31"/>
      <c r="W19" s="31"/>
      <c r="X19" s="32"/>
    </row>
    <row r="20" spans="1:25" ht="13.8" thickBot="1">
      <c r="A20" s="33" t="s">
        <v>5</v>
      </c>
      <c r="B20" s="160">
        <f t="shared" si="4"/>
        <v>4.4137931034482758</v>
      </c>
      <c r="C20" s="161">
        <v>157</v>
      </c>
      <c r="D20" s="31">
        <v>-76</v>
      </c>
      <c r="E20" s="125">
        <f>55+102</f>
        <v>157</v>
      </c>
      <c r="F20" s="31">
        <v>29</v>
      </c>
      <c r="G20" s="31">
        <v>216</v>
      </c>
      <c r="H20" s="31">
        <v>157</v>
      </c>
      <c r="I20" s="31">
        <v>193</v>
      </c>
      <c r="J20" s="31">
        <v>232</v>
      </c>
      <c r="K20" s="31">
        <v>100</v>
      </c>
      <c r="L20" s="73">
        <v>210</v>
      </c>
      <c r="M20" s="73">
        <v>9</v>
      </c>
      <c r="N20" s="35">
        <v>38</v>
      </c>
      <c r="O20" s="35">
        <v>39</v>
      </c>
      <c r="P20" s="35">
        <v>98</v>
      </c>
      <c r="Q20" s="35">
        <v>140</v>
      </c>
      <c r="R20" s="35">
        <v>98</v>
      </c>
      <c r="S20" s="35">
        <v>464</v>
      </c>
      <c r="T20" s="35">
        <v>504</v>
      </c>
      <c r="U20" s="35">
        <v>536</v>
      </c>
      <c r="V20" s="35">
        <v>0</v>
      </c>
      <c r="W20" s="35">
        <v>38</v>
      </c>
      <c r="X20" s="36">
        <v>101</v>
      </c>
      <c r="Y20" s="31"/>
    </row>
    <row r="21" spans="1:25" ht="13.8" thickBot="1">
      <c r="A21" s="37" t="s">
        <v>92</v>
      </c>
      <c r="B21" s="38">
        <f t="shared" si="4"/>
        <v>0.48511099079588521</v>
      </c>
      <c r="C21" s="178">
        <v>2743</v>
      </c>
      <c r="D21" s="39">
        <v>-494</v>
      </c>
      <c r="E21" s="124">
        <f t="shared" ref="E21" si="5">SUM(E16:E20)</f>
        <v>2743</v>
      </c>
      <c r="F21" s="39">
        <f t="shared" ref="F21:K21" si="6">SUM(F16:F20)</f>
        <v>1847</v>
      </c>
      <c r="G21" s="39">
        <f t="shared" si="6"/>
        <v>2600</v>
      </c>
      <c r="H21" s="39">
        <f t="shared" si="6"/>
        <v>2035</v>
      </c>
      <c r="I21" s="39">
        <f t="shared" si="6"/>
        <v>1954</v>
      </c>
      <c r="J21" s="39">
        <f t="shared" si="6"/>
        <v>3587</v>
      </c>
      <c r="K21" s="39">
        <f t="shared" si="6"/>
        <v>3292</v>
      </c>
      <c r="L21" s="102">
        <v>2348</v>
      </c>
      <c r="M21" s="102">
        <v>1719</v>
      </c>
      <c r="N21" s="39">
        <f>SUM(N16:N20)</f>
        <v>1404</v>
      </c>
      <c r="O21" s="39">
        <f>SUM(O16:O20)</f>
        <v>4293</v>
      </c>
      <c r="P21" s="39">
        <f t="shared" ref="P21:U21" si="7">SUM(P16:P20)</f>
        <v>598</v>
      </c>
      <c r="Q21" s="39">
        <f t="shared" si="7"/>
        <v>2694</v>
      </c>
      <c r="R21" s="39">
        <f t="shared" si="7"/>
        <v>856</v>
      </c>
      <c r="S21" s="39">
        <f t="shared" si="7"/>
        <v>1226</v>
      </c>
      <c r="T21" s="39">
        <f t="shared" si="7"/>
        <v>683</v>
      </c>
      <c r="U21" s="39">
        <f t="shared" si="7"/>
        <v>687</v>
      </c>
      <c r="V21" s="39">
        <v>0</v>
      </c>
      <c r="W21" s="39">
        <f>SUM(W16:W20)</f>
        <v>38</v>
      </c>
      <c r="X21" s="40">
        <f>SUM(X16:X20)</f>
        <v>156</v>
      </c>
      <c r="Y21" s="31"/>
    </row>
  </sheetData>
  <conditionalFormatting sqref="E1">
    <cfRule type="expression" dxfId="21" priority="2">
      <formula>ISBLANK(XFD1)=FALSE</formula>
    </cfRule>
  </conditionalFormatting>
  <conditionalFormatting sqref="E15">
    <cfRule type="expression" dxfId="20" priority="1">
      <formula>ISBLANK(XFD15)=FALSE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3"/>
  <sheetViews>
    <sheetView workbookViewId="0"/>
  </sheetViews>
  <sheetFormatPr defaultColWidth="9.109375" defaultRowHeight="13.2"/>
  <cols>
    <col min="1" max="1" width="18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1" width="11.44140625" style="26" customWidth="1"/>
    <col min="12" max="13" width="10.6640625" style="26" customWidth="1"/>
    <col min="14" max="24" width="10.109375" style="26" bestFit="1" customWidth="1"/>
    <col min="25" max="16384" width="9.109375" style="26"/>
  </cols>
  <sheetData>
    <row r="1" spans="1:25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28">
        <v>39783</v>
      </c>
      <c r="W1" s="28">
        <v>39417</v>
      </c>
      <c r="X1" s="44">
        <v>39052</v>
      </c>
    </row>
    <row r="2" spans="1:25">
      <c r="A2" s="80" t="s">
        <v>3</v>
      </c>
      <c r="B2" s="138">
        <f t="shared" ref="B2:B20" si="0">IFERROR(((E2-F2)/F2),"")</f>
        <v>9.0909090909090912E-2</v>
      </c>
      <c r="C2" s="139">
        <v>-48</v>
      </c>
      <c r="D2" s="88">
        <v>-10</v>
      </c>
      <c r="E2" s="126">
        <v>60</v>
      </c>
      <c r="F2" s="31">
        <v>55</v>
      </c>
      <c r="G2" s="31">
        <v>12</v>
      </c>
      <c r="H2" s="31">
        <v>60</v>
      </c>
      <c r="I2" s="31">
        <v>36</v>
      </c>
      <c r="J2" s="31">
        <v>0</v>
      </c>
      <c r="K2" s="31">
        <v>29</v>
      </c>
      <c r="L2" s="31">
        <v>76</v>
      </c>
      <c r="M2" s="31">
        <v>57</v>
      </c>
      <c r="N2" s="31">
        <v>80</v>
      </c>
      <c r="O2" s="31">
        <v>132</v>
      </c>
      <c r="P2" s="31">
        <v>100</v>
      </c>
      <c r="Q2" s="31">
        <v>86</v>
      </c>
      <c r="R2" s="31">
        <v>105</v>
      </c>
      <c r="S2" s="31">
        <v>170</v>
      </c>
      <c r="T2" s="31">
        <v>146</v>
      </c>
      <c r="U2" s="31">
        <v>124</v>
      </c>
      <c r="V2" s="31">
        <v>335</v>
      </c>
      <c r="W2" s="31">
        <v>234</v>
      </c>
      <c r="X2" s="32">
        <v>147</v>
      </c>
    </row>
    <row r="3" spans="1:25">
      <c r="A3" s="80" t="s">
        <v>106</v>
      </c>
      <c r="B3" s="138">
        <f t="shared" si="0"/>
        <v>-0.39849624060150374</v>
      </c>
      <c r="C3" s="139">
        <v>-9</v>
      </c>
      <c r="D3" s="88">
        <v>-12</v>
      </c>
      <c r="E3" s="126">
        <v>80</v>
      </c>
      <c r="F3" s="31">
        <v>133</v>
      </c>
      <c r="G3" s="31">
        <v>89</v>
      </c>
      <c r="H3" s="31">
        <v>102</v>
      </c>
      <c r="I3" s="31">
        <v>249</v>
      </c>
      <c r="J3" s="31">
        <v>15</v>
      </c>
      <c r="K3" s="31">
        <v>385</v>
      </c>
      <c r="L3" s="31">
        <v>439</v>
      </c>
      <c r="M3" s="31">
        <v>376</v>
      </c>
      <c r="N3" s="31">
        <v>568</v>
      </c>
      <c r="O3" s="31">
        <v>491</v>
      </c>
      <c r="P3" s="31">
        <v>593</v>
      </c>
      <c r="Q3" s="31">
        <v>575</v>
      </c>
      <c r="R3" s="31">
        <v>447</v>
      </c>
      <c r="S3" s="31">
        <v>536</v>
      </c>
      <c r="T3" s="31">
        <v>399</v>
      </c>
      <c r="U3" s="31">
        <v>365</v>
      </c>
      <c r="V3" s="31">
        <v>223</v>
      </c>
      <c r="W3" s="31"/>
      <c r="X3" s="32"/>
    </row>
    <row r="4" spans="1:25">
      <c r="A4" s="80" t="s">
        <v>4</v>
      </c>
      <c r="B4" s="138">
        <f t="shared" si="0"/>
        <v>-6.4935064935064929E-2</v>
      </c>
      <c r="C4" s="139">
        <v>-106</v>
      </c>
      <c r="D4" s="88">
        <v>-72</v>
      </c>
      <c r="E4" s="126">
        <v>144</v>
      </c>
      <c r="F4" s="31">
        <v>154</v>
      </c>
      <c r="G4" s="31">
        <v>157</v>
      </c>
      <c r="H4" s="31">
        <v>263</v>
      </c>
      <c r="I4" s="31">
        <v>209</v>
      </c>
      <c r="J4" s="31">
        <v>45</v>
      </c>
      <c r="K4" s="31">
        <v>336</v>
      </c>
      <c r="L4" s="31">
        <v>657</v>
      </c>
      <c r="M4" s="31">
        <v>313</v>
      </c>
      <c r="N4" s="31">
        <v>532</v>
      </c>
      <c r="O4" s="31">
        <v>656</v>
      </c>
      <c r="P4" s="31">
        <v>577</v>
      </c>
      <c r="Q4" s="31">
        <v>473</v>
      </c>
      <c r="R4" s="31">
        <v>373</v>
      </c>
      <c r="S4" s="31">
        <v>437</v>
      </c>
      <c r="T4" s="31">
        <v>549</v>
      </c>
      <c r="U4" s="31">
        <v>388</v>
      </c>
      <c r="V4" s="31">
        <v>565</v>
      </c>
      <c r="W4" s="31">
        <v>1343</v>
      </c>
      <c r="X4" s="32">
        <v>837</v>
      </c>
    </row>
    <row r="5" spans="1:25">
      <c r="A5" s="80" t="s">
        <v>1</v>
      </c>
      <c r="B5" s="138">
        <f t="shared" si="0"/>
        <v>-0.29599056603773582</v>
      </c>
      <c r="C5" s="139">
        <v>-904</v>
      </c>
      <c r="D5" s="88">
        <v>-689</v>
      </c>
      <c r="E5" s="126">
        <v>2985</v>
      </c>
      <c r="F5" s="31">
        <v>4240</v>
      </c>
      <c r="G5" s="31">
        <v>2593</v>
      </c>
      <c r="H5" s="31">
        <v>3593</v>
      </c>
      <c r="I5" s="31">
        <v>4008</v>
      </c>
      <c r="J5" s="31">
        <v>2499</v>
      </c>
      <c r="K5" s="31">
        <v>3746</v>
      </c>
      <c r="L5" s="31">
        <v>4874</v>
      </c>
      <c r="M5" s="31">
        <v>2674</v>
      </c>
      <c r="N5" s="31">
        <v>3959</v>
      </c>
      <c r="O5" s="31">
        <v>3901</v>
      </c>
      <c r="P5" s="31">
        <v>3803</v>
      </c>
      <c r="Q5" s="31">
        <v>3352</v>
      </c>
      <c r="R5" s="31">
        <v>2437</v>
      </c>
      <c r="S5" s="31">
        <v>3308</v>
      </c>
      <c r="T5" s="31">
        <v>2420</v>
      </c>
      <c r="U5" s="31">
        <v>3063</v>
      </c>
      <c r="V5" s="31">
        <v>3688</v>
      </c>
      <c r="W5" s="31">
        <v>2505</v>
      </c>
      <c r="X5" s="32">
        <v>2069</v>
      </c>
    </row>
    <row r="6" spans="1:25">
      <c r="A6" s="80" t="s">
        <v>11</v>
      </c>
      <c r="B6" s="138">
        <f t="shared" si="0"/>
        <v>-1</v>
      </c>
      <c r="C6" s="139">
        <v>0</v>
      </c>
      <c r="D6" s="88">
        <v>0</v>
      </c>
      <c r="E6" s="126"/>
      <c r="F6" s="31">
        <v>16</v>
      </c>
      <c r="G6" s="31">
        <v>9</v>
      </c>
      <c r="H6" s="31">
        <v>0</v>
      </c>
      <c r="I6" s="31">
        <v>0</v>
      </c>
      <c r="J6" s="31"/>
      <c r="K6" s="31">
        <v>5</v>
      </c>
      <c r="L6" s="31">
        <v>16</v>
      </c>
      <c r="M6" s="31">
        <v>24</v>
      </c>
      <c r="N6" s="31">
        <v>17</v>
      </c>
      <c r="O6" s="31">
        <v>17</v>
      </c>
      <c r="P6" s="31"/>
      <c r="Q6" s="31">
        <v>29</v>
      </c>
      <c r="R6" s="31">
        <v>8</v>
      </c>
      <c r="S6" s="31">
        <v>0</v>
      </c>
      <c r="T6" s="31">
        <v>3</v>
      </c>
      <c r="U6" s="31">
        <v>0</v>
      </c>
      <c r="V6" s="31">
        <v>5</v>
      </c>
      <c r="W6" s="31"/>
      <c r="X6" s="32"/>
    </row>
    <row r="7" spans="1:25">
      <c r="A7" s="80" t="s">
        <v>8</v>
      </c>
      <c r="B7" s="138">
        <f t="shared" si="0"/>
        <v>-0.5</v>
      </c>
      <c r="C7" s="139">
        <v>-42</v>
      </c>
      <c r="D7" s="88">
        <v>-18</v>
      </c>
      <c r="E7" s="126">
        <v>96</v>
      </c>
      <c r="F7" s="31">
        <v>192</v>
      </c>
      <c r="G7" s="31">
        <v>155</v>
      </c>
      <c r="H7" s="31">
        <v>140</v>
      </c>
      <c r="I7" s="31">
        <v>242</v>
      </c>
      <c r="J7" s="31">
        <v>156</v>
      </c>
      <c r="K7" s="31">
        <v>240</v>
      </c>
      <c r="L7" s="31">
        <v>606</v>
      </c>
      <c r="M7" s="31">
        <v>314</v>
      </c>
      <c r="N7" s="31">
        <v>562</v>
      </c>
      <c r="O7" s="31">
        <v>425</v>
      </c>
      <c r="P7" s="31">
        <v>392</v>
      </c>
      <c r="Q7" s="31">
        <v>335</v>
      </c>
      <c r="R7" s="31">
        <v>184</v>
      </c>
      <c r="S7" s="31">
        <v>262</v>
      </c>
      <c r="T7" s="31">
        <v>259</v>
      </c>
      <c r="U7" s="31">
        <v>284</v>
      </c>
      <c r="V7" s="31">
        <v>45</v>
      </c>
      <c r="W7" s="31"/>
      <c r="X7" s="32"/>
    </row>
    <row r="8" spans="1:25">
      <c r="A8" s="80" t="s">
        <v>13</v>
      </c>
      <c r="B8" s="138" t="str">
        <f t="shared" si="0"/>
        <v/>
      </c>
      <c r="C8" s="139">
        <v>0</v>
      </c>
      <c r="D8" s="88">
        <v>0</v>
      </c>
      <c r="E8" s="126"/>
      <c r="F8" s="31"/>
      <c r="G8" s="31"/>
      <c r="H8" s="31"/>
      <c r="I8" s="31">
        <v>0</v>
      </c>
      <c r="J8" s="31">
        <v>0</v>
      </c>
      <c r="K8" s="31"/>
      <c r="L8" s="31">
        <v>0</v>
      </c>
      <c r="M8" s="31">
        <v>0</v>
      </c>
      <c r="N8" s="31">
        <v>0</v>
      </c>
      <c r="O8" s="31">
        <v>4</v>
      </c>
      <c r="P8" s="31"/>
      <c r="Q8" s="31">
        <v>10</v>
      </c>
      <c r="R8" s="31">
        <v>60</v>
      </c>
      <c r="S8" s="31">
        <v>84</v>
      </c>
      <c r="T8" s="31">
        <v>62</v>
      </c>
      <c r="U8" s="31">
        <v>116</v>
      </c>
      <c r="V8" s="31">
        <v>399</v>
      </c>
      <c r="W8" s="31">
        <v>331</v>
      </c>
      <c r="X8" s="32">
        <v>405</v>
      </c>
    </row>
    <row r="9" spans="1:25">
      <c r="A9" s="80" t="s">
        <v>16</v>
      </c>
      <c r="B9" s="138" t="str">
        <f t="shared" si="0"/>
        <v/>
      </c>
      <c r="C9" s="139">
        <v>0</v>
      </c>
      <c r="D9" s="88">
        <v>0</v>
      </c>
      <c r="E9" s="126"/>
      <c r="F9" s="31"/>
      <c r="G9" s="31"/>
      <c r="H9" s="31"/>
      <c r="I9" s="31"/>
      <c r="J9" s="31">
        <v>3</v>
      </c>
      <c r="K9" s="31">
        <v>10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2"/>
    </row>
    <row r="10" spans="1:25">
      <c r="A10" s="80" t="s">
        <v>14</v>
      </c>
      <c r="B10" s="138">
        <f t="shared" si="0"/>
        <v>-0.11320754716981132</v>
      </c>
      <c r="C10" s="139">
        <v>-136</v>
      </c>
      <c r="D10" s="88">
        <v>-152</v>
      </c>
      <c r="E10" s="126">
        <v>94</v>
      </c>
      <c r="F10" s="31">
        <v>106</v>
      </c>
      <c r="G10" s="31">
        <v>285</v>
      </c>
      <c r="H10" s="31">
        <v>166</v>
      </c>
      <c r="I10" s="31">
        <v>70</v>
      </c>
      <c r="J10" s="31">
        <v>0</v>
      </c>
      <c r="K10" s="31">
        <v>0</v>
      </c>
      <c r="L10" s="31">
        <v>287</v>
      </c>
      <c r="M10" s="31">
        <v>27</v>
      </c>
      <c r="N10" s="31">
        <v>299</v>
      </c>
      <c r="O10" s="31">
        <v>238</v>
      </c>
      <c r="P10" s="31">
        <v>318</v>
      </c>
      <c r="Q10" s="31">
        <v>274</v>
      </c>
      <c r="R10" s="31">
        <v>100</v>
      </c>
      <c r="S10" s="31">
        <v>316</v>
      </c>
      <c r="T10" s="31">
        <v>337</v>
      </c>
      <c r="U10" s="31">
        <v>381</v>
      </c>
      <c r="V10" s="31">
        <v>784</v>
      </c>
      <c r="W10" s="31"/>
      <c r="X10" s="32"/>
    </row>
    <row r="11" spans="1:25">
      <c r="A11" s="80" t="s">
        <v>9</v>
      </c>
      <c r="B11" s="138" t="str">
        <f t="shared" si="0"/>
        <v/>
      </c>
      <c r="C11" s="139">
        <v>0</v>
      </c>
      <c r="D11" s="88">
        <v>0</v>
      </c>
      <c r="E11" s="126"/>
      <c r="F11" s="31"/>
      <c r="G11" s="31">
        <v>14</v>
      </c>
      <c r="H11" s="31"/>
      <c r="I11" s="31">
        <v>14</v>
      </c>
      <c r="J11" s="31">
        <v>0</v>
      </c>
      <c r="K11" s="31">
        <v>15</v>
      </c>
      <c r="L11" s="31">
        <v>14</v>
      </c>
      <c r="M11" s="31">
        <v>17</v>
      </c>
      <c r="N11" s="31"/>
      <c r="O11" s="31"/>
      <c r="P11" s="31"/>
      <c r="Q11" s="31">
        <v>21</v>
      </c>
      <c r="R11" s="31">
        <v>5</v>
      </c>
      <c r="S11" s="31">
        <v>11</v>
      </c>
      <c r="T11" s="31">
        <v>16</v>
      </c>
      <c r="U11" s="31">
        <v>34</v>
      </c>
      <c r="V11" s="31">
        <v>34</v>
      </c>
      <c r="W11" s="31"/>
      <c r="X11" s="32"/>
      <c r="Y11" s="31"/>
    </row>
    <row r="12" spans="1:25">
      <c r="A12" s="80" t="s">
        <v>108</v>
      </c>
      <c r="B12" s="138">
        <f t="shared" si="0"/>
        <v>-0.46161466072313029</v>
      </c>
      <c r="C12" s="139">
        <v>-606</v>
      </c>
      <c r="D12" s="88">
        <v>-799</v>
      </c>
      <c r="E12" s="126">
        <v>1087</v>
      </c>
      <c r="F12" s="31">
        <v>2019</v>
      </c>
      <c r="G12" s="31">
        <v>1394</v>
      </c>
      <c r="H12" s="31">
        <v>1356</v>
      </c>
      <c r="I12" s="31">
        <v>1441</v>
      </c>
      <c r="J12" s="31">
        <v>180</v>
      </c>
      <c r="K12" s="31">
        <v>338</v>
      </c>
      <c r="L12" s="31">
        <v>2011</v>
      </c>
      <c r="M12" s="31">
        <v>754</v>
      </c>
      <c r="N12" s="31">
        <v>2380</v>
      </c>
      <c r="O12" s="31">
        <v>2215</v>
      </c>
      <c r="P12" s="31">
        <v>1333</v>
      </c>
      <c r="Q12" s="31">
        <v>2003</v>
      </c>
      <c r="R12" s="31">
        <v>814</v>
      </c>
      <c r="S12" s="31">
        <v>1115</v>
      </c>
      <c r="T12" s="31">
        <v>1185</v>
      </c>
      <c r="U12" s="31">
        <v>1063</v>
      </c>
      <c r="V12" s="31">
        <v>1923</v>
      </c>
      <c r="W12" s="31"/>
      <c r="X12" s="32"/>
    </row>
    <row r="13" spans="1:25">
      <c r="A13" s="80" t="s">
        <v>25</v>
      </c>
      <c r="B13" s="138">
        <f t="shared" si="0"/>
        <v>0.10526315789473684</v>
      </c>
      <c r="C13" s="139">
        <v>-4</v>
      </c>
      <c r="D13" s="88">
        <v>-4</v>
      </c>
      <c r="E13" s="126">
        <v>21</v>
      </c>
      <c r="F13" s="31">
        <v>19</v>
      </c>
      <c r="G13" s="31">
        <v>10</v>
      </c>
      <c r="H13" s="31">
        <v>8</v>
      </c>
      <c r="I13" s="31">
        <v>21</v>
      </c>
      <c r="J13" s="31">
        <v>28</v>
      </c>
      <c r="K13" s="31">
        <v>0</v>
      </c>
      <c r="L13" s="31">
        <v>51</v>
      </c>
      <c r="M13" s="31">
        <v>32</v>
      </c>
      <c r="N13" s="31">
        <v>35</v>
      </c>
      <c r="O13" s="31">
        <v>22</v>
      </c>
      <c r="P13" s="31">
        <v>45</v>
      </c>
      <c r="Q13" s="31">
        <v>43</v>
      </c>
      <c r="R13" s="31"/>
      <c r="S13" s="31"/>
      <c r="T13" s="31"/>
      <c r="U13" s="31">
        <v>165</v>
      </c>
      <c r="V13" s="31">
        <v>15</v>
      </c>
      <c r="W13" s="31"/>
      <c r="X13" s="32"/>
      <c r="Y13" s="31"/>
    </row>
    <row r="14" spans="1:25">
      <c r="A14" s="80" t="s">
        <v>24</v>
      </c>
      <c r="B14" s="138">
        <f t="shared" si="0"/>
        <v>-0.33826429980276135</v>
      </c>
      <c r="C14" s="139">
        <v>-61</v>
      </c>
      <c r="D14" s="88">
        <v>-49</v>
      </c>
      <c r="E14" s="126">
        <v>671</v>
      </c>
      <c r="F14" s="31">
        <v>1014</v>
      </c>
      <c r="G14" s="31">
        <v>927</v>
      </c>
      <c r="H14" s="31">
        <v>729</v>
      </c>
      <c r="I14" s="31">
        <v>1428</v>
      </c>
      <c r="J14" s="31">
        <v>1684</v>
      </c>
      <c r="K14" s="31">
        <v>1192</v>
      </c>
      <c r="L14" s="31">
        <v>2800</v>
      </c>
      <c r="M14" s="31">
        <v>1985</v>
      </c>
      <c r="N14" s="31">
        <v>2851</v>
      </c>
      <c r="O14" s="31">
        <v>2420</v>
      </c>
      <c r="P14" s="31">
        <v>2641</v>
      </c>
      <c r="Q14" s="31">
        <v>2298</v>
      </c>
      <c r="R14" s="31">
        <v>1958</v>
      </c>
      <c r="S14" s="31">
        <v>2688</v>
      </c>
      <c r="T14" s="31">
        <v>2444</v>
      </c>
      <c r="U14" s="31">
        <v>3208</v>
      </c>
      <c r="V14" s="31">
        <v>3980</v>
      </c>
      <c r="W14" s="31">
        <v>3659</v>
      </c>
      <c r="X14" s="32">
        <v>3252</v>
      </c>
    </row>
    <row r="15" spans="1:25">
      <c r="A15" s="80" t="s">
        <v>107</v>
      </c>
      <c r="B15" s="138">
        <f t="shared" si="0"/>
        <v>1</v>
      </c>
      <c r="C15" s="139">
        <v>-66</v>
      </c>
      <c r="D15" s="88">
        <v>-40</v>
      </c>
      <c r="E15" s="126">
        <v>48</v>
      </c>
      <c r="F15" s="31">
        <v>24</v>
      </c>
      <c r="G15" s="31">
        <v>36</v>
      </c>
      <c r="H15" s="31">
        <v>27</v>
      </c>
      <c r="I15" s="31">
        <v>29</v>
      </c>
      <c r="J15" s="31">
        <v>0</v>
      </c>
      <c r="K15" s="31">
        <v>66</v>
      </c>
      <c r="L15" s="31">
        <v>139</v>
      </c>
      <c r="M15" s="31">
        <v>86</v>
      </c>
      <c r="N15" s="31">
        <v>105</v>
      </c>
      <c r="O15" s="31">
        <v>196</v>
      </c>
      <c r="P15" s="31">
        <v>176</v>
      </c>
      <c r="Q15" s="31">
        <v>149</v>
      </c>
      <c r="R15" s="31">
        <v>144</v>
      </c>
      <c r="S15" s="31">
        <v>232</v>
      </c>
      <c r="T15" s="31">
        <v>169</v>
      </c>
      <c r="U15" s="31">
        <v>174</v>
      </c>
      <c r="V15" s="31">
        <v>295</v>
      </c>
      <c r="W15" s="31"/>
      <c r="X15" s="32"/>
    </row>
    <row r="16" spans="1:25">
      <c r="A16" s="80" t="s">
        <v>12</v>
      </c>
      <c r="B16" s="138" t="str">
        <f t="shared" si="0"/>
        <v/>
      </c>
      <c r="C16" s="139">
        <v>0</v>
      </c>
      <c r="D16" s="88">
        <v>-7</v>
      </c>
      <c r="E16" s="126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>
        <v>33</v>
      </c>
      <c r="R16" s="31">
        <v>0</v>
      </c>
      <c r="S16" s="31"/>
      <c r="T16" s="31"/>
      <c r="U16" s="31">
        <v>42</v>
      </c>
      <c r="V16" s="31">
        <v>46</v>
      </c>
      <c r="W16" s="31"/>
      <c r="X16" s="32"/>
    </row>
    <row r="17" spans="1:24">
      <c r="A17" s="80" t="s">
        <v>33</v>
      </c>
      <c r="B17" s="138" t="str">
        <f t="shared" si="0"/>
        <v/>
      </c>
      <c r="C17" s="139">
        <v>0</v>
      </c>
      <c r="D17" s="88">
        <v>0</v>
      </c>
      <c r="E17" s="126"/>
      <c r="F17" s="31"/>
      <c r="G17" s="31"/>
      <c r="H17" s="31"/>
      <c r="I17" s="31"/>
      <c r="J17" s="31"/>
      <c r="K17" s="31">
        <v>14</v>
      </c>
      <c r="L17" s="31">
        <v>18</v>
      </c>
      <c r="M17" s="31">
        <v>0</v>
      </c>
      <c r="N17" s="31">
        <v>26</v>
      </c>
      <c r="O17" s="31">
        <v>5</v>
      </c>
      <c r="P17" s="31">
        <v>23</v>
      </c>
      <c r="Q17" s="31">
        <v>22</v>
      </c>
      <c r="R17" s="31">
        <v>12</v>
      </c>
      <c r="S17" s="31">
        <v>11</v>
      </c>
      <c r="T17" s="31"/>
      <c r="U17" s="31"/>
      <c r="V17" s="31"/>
      <c r="W17" s="31"/>
      <c r="X17" s="32"/>
    </row>
    <row r="18" spans="1:24">
      <c r="A18" s="80" t="s">
        <v>85</v>
      </c>
      <c r="B18" s="138">
        <f t="shared" si="0"/>
        <v>7.9652996845425872E-2</v>
      </c>
      <c r="C18" s="139">
        <v>-27</v>
      </c>
      <c r="D18" s="88">
        <v>102</v>
      </c>
      <c r="E18" s="126">
        <v>2738</v>
      </c>
      <c r="F18" s="31">
        <v>2536</v>
      </c>
      <c r="G18" s="31">
        <v>2844</v>
      </c>
      <c r="H18" s="31">
        <v>4200</v>
      </c>
      <c r="I18" s="31">
        <f>2380+782</f>
        <v>3162</v>
      </c>
      <c r="J18" s="31">
        <f>1401+518</f>
        <v>1919</v>
      </c>
      <c r="K18" s="31">
        <v>1782</v>
      </c>
      <c r="L18" s="31">
        <v>2148</v>
      </c>
      <c r="M18" s="31">
        <v>1064</v>
      </c>
      <c r="N18" s="31">
        <v>1723</v>
      </c>
      <c r="O18" s="31">
        <v>1258</v>
      </c>
      <c r="P18" s="31">
        <v>1083</v>
      </c>
      <c r="Q18" s="31">
        <v>1148</v>
      </c>
      <c r="R18" s="31">
        <v>929</v>
      </c>
      <c r="S18" s="31">
        <v>515</v>
      </c>
      <c r="T18" s="31">
        <v>460</v>
      </c>
      <c r="U18" s="31">
        <v>465</v>
      </c>
      <c r="V18" s="31">
        <v>265</v>
      </c>
      <c r="W18" s="31"/>
      <c r="X18" s="32"/>
    </row>
    <row r="19" spans="1:24" ht="13.8" thickBot="1">
      <c r="A19" s="83" t="s">
        <v>5</v>
      </c>
      <c r="B19" s="179">
        <f t="shared" si="0"/>
        <v>0.21026761332605134</v>
      </c>
      <c r="C19" s="180">
        <v>-1381</v>
      </c>
      <c r="D19" s="88">
        <v>-880</v>
      </c>
      <c r="E19" s="126">
        <v>2216</v>
      </c>
      <c r="F19" s="31">
        <v>1831</v>
      </c>
      <c r="G19" s="31">
        <v>345</v>
      </c>
      <c r="H19" s="31">
        <v>232</v>
      </c>
      <c r="I19" s="31">
        <f>205+11</f>
        <v>216</v>
      </c>
      <c r="J19" s="31">
        <f>140+6</f>
        <v>146</v>
      </c>
      <c r="K19" s="31">
        <v>1008</v>
      </c>
      <c r="L19" s="31">
        <v>660</v>
      </c>
      <c r="M19" s="31">
        <v>157</v>
      </c>
      <c r="N19" s="31">
        <v>419</v>
      </c>
      <c r="O19" s="31">
        <v>307</v>
      </c>
      <c r="P19" s="31">
        <v>197</v>
      </c>
      <c r="Q19" s="31">
        <v>254</v>
      </c>
      <c r="R19" s="31">
        <v>218</v>
      </c>
      <c r="S19" s="31">
        <v>294</v>
      </c>
      <c r="T19" s="31">
        <v>109</v>
      </c>
      <c r="U19" s="31">
        <v>565</v>
      </c>
      <c r="V19" s="31">
        <v>734</v>
      </c>
      <c r="W19" s="31">
        <f>1785+6</f>
        <v>1791</v>
      </c>
      <c r="X19" s="32">
        <v>1548</v>
      </c>
    </row>
    <row r="20" spans="1:24" ht="13.8" thickBot="1">
      <c r="A20" s="85" t="s">
        <v>92</v>
      </c>
      <c r="B20" s="181">
        <f t="shared" si="0"/>
        <v>-0.17011103006726638</v>
      </c>
      <c r="C20" s="171">
        <v>-3390</v>
      </c>
      <c r="D20" s="89">
        <v>-2630</v>
      </c>
      <c r="E20" s="137">
        <f t="shared" ref="E20" si="1">SUM(E2:E19)</f>
        <v>10240</v>
      </c>
      <c r="F20" s="39">
        <f t="shared" ref="F20:K20" si="2">SUM(F2:F19)</f>
        <v>12339</v>
      </c>
      <c r="G20" s="39">
        <f t="shared" si="2"/>
        <v>8870</v>
      </c>
      <c r="H20" s="39">
        <f t="shared" si="2"/>
        <v>10876</v>
      </c>
      <c r="I20" s="109">
        <f t="shared" si="2"/>
        <v>11125</v>
      </c>
      <c r="J20" s="39">
        <f t="shared" si="2"/>
        <v>6675</v>
      </c>
      <c r="K20" s="39">
        <f t="shared" si="2"/>
        <v>9166</v>
      </c>
      <c r="L20" s="39">
        <v>14796</v>
      </c>
      <c r="M20" s="39">
        <v>7880</v>
      </c>
      <c r="N20" s="39">
        <f>SUM(N2:N19)</f>
        <v>13556</v>
      </c>
      <c r="O20" s="39">
        <f>SUM(O2:O19)</f>
        <v>12287</v>
      </c>
      <c r="P20" s="39">
        <f>SUM(P2:P19)</f>
        <v>11281</v>
      </c>
      <c r="Q20" s="39">
        <f>SUM(Q2:Q19)</f>
        <v>11105</v>
      </c>
      <c r="R20" s="39">
        <f>SUM(R2:R19)</f>
        <v>7794</v>
      </c>
      <c r="S20" s="39">
        <f t="shared" ref="S20:X20" si="3">SUM(S2:S19)</f>
        <v>9979</v>
      </c>
      <c r="T20" s="39">
        <f t="shared" si="3"/>
        <v>8558</v>
      </c>
      <c r="U20" s="39">
        <f t="shared" si="3"/>
        <v>10437</v>
      </c>
      <c r="V20" s="39">
        <f t="shared" si="3"/>
        <v>13336</v>
      </c>
      <c r="W20" s="39">
        <f t="shared" si="3"/>
        <v>9863</v>
      </c>
      <c r="X20" s="40">
        <f t="shared" si="3"/>
        <v>8258</v>
      </c>
    </row>
    <row r="21" spans="1:24">
      <c r="B21" s="176"/>
      <c r="C21" s="176"/>
    </row>
    <row r="22" spans="1:24" ht="13.8" thickBot="1">
      <c r="B22" s="108"/>
      <c r="C22" s="108"/>
      <c r="D22" s="3"/>
      <c r="E22" s="3"/>
    </row>
    <row r="23" spans="1:24" ht="13.8" thickBot="1">
      <c r="A23" s="27" t="s">
        <v>109</v>
      </c>
      <c r="B23" s="12" t="s">
        <v>169</v>
      </c>
      <c r="C23" s="132" t="s">
        <v>170</v>
      </c>
      <c r="D23" s="133" t="s">
        <v>168</v>
      </c>
      <c r="E23" s="134">
        <v>45992</v>
      </c>
      <c r="F23" s="13">
        <v>45627</v>
      </c>
      <c r="G23" s="13">
        <v>45261</v>
      </c>
      <c r="H23" s="13">
        <v>44896</v>
      </c>
      <c r="I23" s="13">
        <v>44531</v>
      </c>
      <c r="J23" s="13">
        <v>44166</v>
      </c>
      <c r="K23" s="13">
        <v>43800</v>
      </c>
      <c r="L23" s="13">
        <v>43435</v>
      </c>
      <c r="M23" s="13">
        <v>43070</v>
      </c>
      <c r="N23" s="13">
        <v>42705</v>
      </c>
      <c r="O23" s="28">
        <f>O1</f>
        <v>42339</v>
      </c>
      <c r="P23" s="28">
        <f>P1</f>
        <v>41974</v>
      </c>
      <c r="Q23" s="28">
        <v>41609</v>
      </c>
      <c r="R23" s="28">
        <v>41244</v>
      </c>
      <c r="S23" s="28">
        <v>40878</v>
      </c>
      <c r="T23" s="28">
        <v>40513</v>
      </c>
      <c r="U23" s="28">
        <v>40148</v>
      </c>
      <c r="V23" s="28">
        <v>39783</v>
      </c>
      <c r="W23" s="28">
        <v>39417</v>
      </c>
      <c r="X23" s="44">
        <v>39052</v>
      </c>
    </row>
    <row r="24" spans="1:24">
      <c r="A24" s="29" t="s">
        <v>6</v>
      </c>
      <c r="B24" s="160" t="str">
        <f t="shared" ref="B24:B27" si="4">IFERROR(((E24-F24)/F24),"")</f>
        <v/>
      </c>
      <c r="C24" s="161">
        <v>-179</v>
      </c>
      <c r="D24" s="31">
        <v>-10</v>
      </c>
      <c r="E24" s="125"/>
      <c r="F24" s="31"/>
      <c r="G24" s="31">
        <v>10</v>
      </c>
      <c r="H24" s="31">
        <v>244</v>
      </c>
      <c r="I24" s="31">
        <v>34</v>
      </c>
      <c r="J24" s="31">
        <v>102</v>
      </c>
      <c r="K24" s="31">
        <v>114</v>
      </c>
      <c r="L24" s="31">
        <v>222</v>
      </c>
      <c r="M24" s="31">
        <v>0</v>
      </c>
      <c r="N24" s="31">
        <v>108</v>
      </c>
      <c r="O24" s="31">
        <v>264</v>
      </c>
      <c r="P24" s="31">
        <v>75</v>
      </c>
      <c r="Q24" s="31">
        <v>560</v>
      </c>
      <c r="R24" s="31">
        <v>35</v>
      </c>
      <c r="S24" s="31">
        <v>252</v>
      </c>
      <c r="T24" s="31">
        <v>41</v>
      </c>
      <c r="U24" s="31">
        <v>231</v>
      </c>
      <c r="V24" s="31">
        <v>360</v>
      </c>
      <c r="W24" s="31">
        <f>B39</f>
        <v>0</v>
      </c>
      <c r="X24" s="32">
        <v>0</v>
      </c>
    </row>
    <row r="25" spans="1:24">
      <c r="A25" s="29" t="s">
        <v>148</v>
      </c>
      <c r="B25" s="160" t="str">
        <f t="shared" si="4"/>
        <v/>
      </c>
      <c r="C25" s="161">
        <v>0</v>
      </c>
      <c r="D25" s="31">
        <v>0</v>
      </c>
      <c r="E25" s="125"/>
      <c r="F25" s="31"/>
      <c r="G25" s="31">
        <v>2</v>
      </c>
      <c r="H25" s="31">
        <v>3</v>
      </c>
      <c r="I25" s="31"/>
      <c r="J25" s="31"/>
      <c r="K25" s="31"/>
      <c r="L25" s="31"/>
      <c r="M25" s="31">
        <v>0</v>
      </c>
      <c r="N25" s="31"/>
      <c r="O25" s="31"/>
      <c r="P25" s="31"/>
      <c r="Q25" s="31"/>
      <c r="R25" s="31"/>
      <c r="S25" s="31">
        <v>1</v>
      </c>
      <c r="T25" s="31">
        <v>12</v>
      </c>
      <c r="U25" s="31"/>
      <c r="V25" s="31"/>
      <c r="W25" s="31"/>
      <c r="X25" s="32"/>
    </row>
    <row r="26" spans="1:24" ht="13.8" thickBot="1">
      <c r="A26" s="33" t="s">
        <v>5</v>
      </c>
      <c r="B26" s="182">
        <f t="shared" si="4"/>
        <v>-1</v>
      </c>
      <c r="C26" s="161">
        <v>-716</v>
      </c>
      <c r="D26" s="31">
        <v>-371</v>
      </c>
      <c r="E26" s="125"/>
      <c r="F26" s="31">
        <v>30</v>
      </c>
      <c r="G26" s="31">
        <v>24</v>
      </c>
      <c r="H26" s="31">
        <v>401</v>
      </c>
      <c r="I26" s="31">
        <v>87</v>
      </c>
      <c r="J26" s="31">
        <v>15</v>
      </c>
      <c r="K26" s="31">
        <v>100</v>
      </c>
      <c r="L26" s="31"/>
      <c r="M26" s="31">
        <v>0</v>
      </c>
      <c r="N26" s="35">
        <v>78</v>
      </c>
      <c r="O26" s="35">
        <v>595</v>
      </c>
      <c r="P26" s="35">
        <v>20</v>
      </c>
      <c r="Q26" s="35">
        <v>528</v>
      </c>
      <c r="R26" s="35">
        <v>63</v>
      </c>
      <c r="S26" s="35">
        <v>91</v>
      </c>
      <c r="T26" s="35">
        <v>99</v>
      </c>
      <c r="U26" s="35">
        <f>28+346</f>
        <v>374</v>
      </c>
      <c r="V26" s="35">
        <v>65</v>
      </c>
      <c r="W26" s="35">
        <v>148</v>
      </c>
      <c r="X26" s="36">
        <v>43</v>
      </c>
    </row>
    <row r="27" spans="1:24" ht="13.8" thickBot="1">
      <c r="A27" s="37" t="s">
        <v>92</v>
      </c>
      <c r="B27" s="38">
        <f t="shared" si="4"/>
        <v>-1</v>
      </c>
      <c r="C27" s="178">
        <v>-895</v>
      </c>
      <c r="D27" s="39">
        <v>-381</v>
      </c>
      <c r="E27" s="124"/>
      <c r="F27" s="39">
        <f t="shared" ref="F27:K27" si="5">SUM(F24:F26)</f>
        <v>30</v>
      </c>
      <c r="G27" s="39">
        <f t="shared" si="5"/>
        <v>36</v>
      </c>
      <c r="H27" s="39">
        <f t="shared" si="5"/>
        <v>648</v>
      </c>
      <c r="I27" s="39">
        <f t="shared" si="5"/>
        <v>121</v>
      </c>
      <c r="J27" s="39">
        <f t="shared" si="5"/>
        <v>117</v>
      </c>
      <c r="K27" s="39">
        <f t="shared" si="5"/>
        <v>214</v>
      </c>
      <c r="L27" s="39">
        <v>626</v>
      </c>
      <c r="M27" s="39">
        <v>0</v>
      </c>
      <c r="N27" s="39">
        <f>SUM(N24:N26)</f>
        <v>186</v>
      </c>
      <c r="O27" s="39">
        <f>SUM(O24:O26)</f>
        <v>859</v>
      </c>
      <c r="P27" s="39">
        <f>SUM(P24:P26)</f>
        <v>95</v>
      </c>
      <c r="Q27" s="39">
        <f>SUM(Q24:Q26)</f>
        <v>1088</v>
      </c>
      <c r="R27" s="39">
        <f>SUM(R24:R26)</f>
        <v>98</v>
      </c>
      <c r="S27" s="39">
        <f t="shared" ref="S27:X27" si="6">SUM(S24:S26)</f>
        <v>344</v>
      </c>
      <c r="T27" s="39">
        <f t="shared" si="6"/>
        <v>152</v>
      </c>
      <c r="U27" s="39">
        <f t="shared" si="6"/>
        <v>605</v>
      </c>
      <c r="V27" s="39">
        <f t="shared" si="6"/>
        <v>425</v>
      </c>
      <c r="W27" s="39">
        <f t="shared" si="6"/>
        <v>148</v>
      </c>
      <c r="X27" s="40">
        <f t="shared" si="6"/>
        <v>43</v>
      </c>
    </row>
    <row r="28" spans="1:24">
      <c r="A28" s="26"/>
      <c r="B28" s="26"/>
      <c r="C28" s="26"/>
      <c r="D28" s="26"/>
      <c r="E28" s="26"/>
    </row>
    <row r="33" spans="6:6">
      <c r="F33" s="31"/>
    </row>
  </sheetData>
  <conditionalFormatting sqref="E1">
    <cfRule type="expression" dxfId="19" priority="2">
      <formula>ISBLANK(XFD1)=FALSE</formula>
    </cfRule>
  </conditionalFormatting>
  <conditionalFormatting sqref="E23">
    <cfRule type="expression" dxfId="18" priority="1">
      <formula>ISBLANK(XFD23)=FALSE</formula>
    </cfRule>
  </conditionalFormatting>
  <pageMargins left="0.75" right="0.75" top="1" bottom="1" header="0.5" footer="0.5"/>
  <pageSetup paperSize="9" fitToHeight="3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8"/>
  <sheetViews>
    <sheetView zoomScaleNormal="100" workbookViewId="0"/>
  </sheetViews>
  <sheetFormatPr defaultColWidth="9.109375" defaultRowHeight="13.2"/>
  <cols>
    <col min="1" max="1" width="24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1" width="11.44140625" style="26" customWidth="1"/>
    <col min="12" max="13" width="10.6640625" style="26" customWidth="1"/>
    <col min="14" max="22" width="10.109375" style="26" bestFit="1" customWidth="1"/>
    <col min="23" max="23" width="10.6640625" style="26" customWidth="1"/>
    <col min="24" max="16384" width="9.109375" style="26"/>
  </cols>
  <sheetData>
    <row r="1" spans="1:24" ht="13.8" thickBot="1">
      <c r="A1" s="79" t="s">
        <v>91</v>
      </c>
      <c r="B1" s="12" t="s">
        <v>169</v>
      </c>
      <c r="C1" s="132" t="s">
        <v>170</v>
      </c>
      <c r="D1" s="133" t="s">
        <v>168</v>
      </c>
      <c r="E1" s="134">
        <v>45992</v>
      </c>
      <c r="F1" s="13">
        <v>45627</v>
      </c>
      <c r="G1" s="13">
        <v>45261</v>
      </c>
      <c r="H1" s="13">
        <v>44896</v>
      </c>
      <c r="I1" s="13">
        <v>44531</v>
      </c>
      <c r="J1" s="13">
        <v>44166</v>
      </c>
      <c r="K1" s="13">
        <v>43800</v>
      </c>
      <c r="L1" s="13">
        <v>43435</v>
      </c>
      <c r="M1" s="13">
        <v>43070</v>
      </c>
      <c r="N1" s="13">
        <v>42705</v>
      </c>
      <c r="O1" s="28">
        <v>42339</v>
      </c>
      <c r="P1" s="28">
        <v>41974</v>
      </c>
      <c r="Q1" s="28">
        <v>41609</v>
      </c>
      <c r="R1" s="28">
        <v>41244</v>
      </c>
      <c r="S1" s="28">
        <v>40878</v>
      </c>
      <c r="T1" s="28">
        <v>40513</v>
      </c>
      <c r="U1" s="28">
        <v>40148</v>
      </c>
      <c r="V1" s="44">
        <v>39783</v>
      </c>
    </row>
    <row r="2" spans="1:24">
      <c r="A2" s="80" t="s">
        <v>110</v>
      </c>
      <c r="B2" s="81">
        <f t="shared" ref="B2:B26" si="0">IFERROR(((E2-F2)/F2),"")</f>
        <v>-1.8241469816272966E-2</v>
      </c>
      <c r="C2" s="155">
        <v>-429</v>
      </c>
      <c r="D2" s="88">
        <v>-1339</v>
      </c>
      <c r="E2" s="126">
        <v>7481</v>
      </c>
      <c r="F2" s="73">
        <v>7620</v>
      </c>
      <c r="G2" s="73">
        <v>6107</v>
      </c>
      <c r="H2" s="73">
        <v>8214</v>
      </c>
      <c r="I2" s="73">
        <v>6439</v>
      </c>
      <c r="J2" s="73">
        <v>9162</v>
      </c>
      <c r="K2" s="73">
        <v>7782</v>
      </c>
      <c r="L2" s="73">
        <v>9401</v>
      </c>
      <c r="M2" s="73">
        <v>10427</v>
      </c>
      <c r="N2" s="73">
        <v>12198</v>
      </c>
      <c r="O2" s="73">
        <v>10999</v>
      </c>
      <c r="P2" s="73">
        <v>17454</v>
      </c>
      <c r="Q2" s="73">
        <v>19302</v>
      </c>
      <c r="R2" s="73">
        <v>12869</v>
      </c>
      <c r="S2" s="73">
        <v>17276</v>
      </c>
      <c r="T2" s="73">
        <v>20048</v>
      </c>
      <c r="U2" s="73">
        <v>15017</v>
      </c>
      <c r="V2" s="71">
        <v>7352</v>
      </c>
    </row>
    <row r="3" spans="1:24">
      <c r="A3" s="80" t="s">
        <v>111</v>
      </c>
      <c r="B3" s="81">
        <f t="shared" si="0"/>
        <v>0.1503329473074696</v>
      </c>
      <c r="C3" s="155">
        <v>-2985</v>
      </c>
      <c r="D3" s="88">
        <v>-2880</v>
      </c>
      <c r="E3" s="126">
        <v>31786</v>
      </c>
      <c r="F3" s="73">
        <v>27632</v>
      </c>
      <c r="G3" s="73">
        <v>30696</v>
      </c>
      <c r="H3" s="73">
        <v>23931</v>
      </c>
      <c r="I3" s="73">
        <v>29207</v>
      </c>
      <c r="J3" s="73">
        <v>25895</v>
      </c>
      <c r="K3" s="73">
        <v>28012</v>
      </c>
      <c r="L3" s="73">
        <v>26643</v>
      </c>
      <c r="M3" s="73">
        <v>22342</v>
      </c>
      <c r="N3" s="73">
        <v>21754</v>
      </c>
      <c r="O3" s="73">
        <v>23920</v>
      </c>
      <c r="P3" s="73">
        <v>20767</v>
      </c>
      <c r="Q3" s="73">
        <v>22917</v>
      </c>
      <c r="R3" s="73">
        <v>15578</v>
      </c>
      <c r="S3" s="73">
        <v>19886</v>
      </c>
      <c r="T3" s="73">
        <v>17848</v>
      </c>
      <c r="U3" s="73">
        <v>18252</v>
      </c>
      <c r="V3" s="71">
        <v>14530</v>
      </c>
    </row>
    <row r="4" spans="1:24">
      <c r="A4" s="80" t="s">
        <v>3</v>
      </c>
      <c r="B4" s="81">
        <f t="shared" si="0"/>
        <v>0.28153273017562536</v>
      </c>
      <c r="C4" s="155">
        <v>-1320</v>
      </c>
      <c r="D4" s="88">
        <v>1255</v>
      </c>
      <c r="E4" s="126">
        <v>4816</v>
      </c>
      <c r="F4" s="73">
        <v>3758</v>
      </c>
      <c r="G4" s="73">
        <v>2090</v>
      </c>
      <c r="H4" s="73">
        <v>4170</v>
      </c>
      <c r="I4" s="73">
        <v>3995</v>
      </c>
      <c r="J4" s="73">
        <v>2605</v>
      </c>
      <c r="K4" s="73">
        <v>2173</v>
      </c>
      <c r="L4" s="73">
        <v>3230</v>
      </c>
      <c r="M4" s="73">
        <v>1552</v>
      </c>
      <c r="N4" s="73">
        <v>4921</v>
      </c>
      <c r="O4" s="31">
        <v>3182</v>
      </c>
      <c r="P4" s="31">
        <v>1894</v>
      </c>
      <c r="Q4" s="31">
        <v>3294</v>
      </c>
      <c r="R4" s="31">
        <v>1042</v>
      </c>
      <c r="S4" s="31">
        <v>4793</v>
      </c>
      <c r="T4" s="31">
        <v>4289</v>
      </c>
      <c r="U4" s="31">
        <v>7001</v>
      </c>
      <c r="V4" s="32">
        <v>5188</v>
      </c>
    </row>
    <row r="5" spans="1:24">
      <c r="A5" s="80" t="s">
        <v>10</v>
      </c>
      <c r="B5" s="81">
        <f t="shared" si="0"/>
        <v>-5.5302462372412202E-2</v>
      </c>
      <c r="C5" s="155">
        <v>-2159</v>
      </c>
      <c r="D5" s="88">
        <v>1656</v>
      </c>
      <c r="E5" s="126">
        <v>16382</v>
      </c>
      <c r="F5" s="73">
        <v>17341</v>
      </c>
      <c r="G5" s="73">
        <v>18232</v>
      </c>
      <c r="H5" s="73">
        <v>17954</v>
      </c>
      <c r="I5" s="73">
        <v>20710</v>
      </c>
      <c r="J5" s="73">
        <v>21483</v>
      </c>
      <c r="K5" s="73">
        <v>32345</v>
      </c>
      <c r="L5" s="73">
        <v>24874</v>
      </c>
      <c r="M5" s="73">
        <v>26644</v>
      </c>
      <c r="N5" s="73">
        <v>30093</v>
      </c>
      <c r="O5" s="31">
        <v>34708</v>
      </c>
      <c r="P5" s="31">
        <v>27964</v>
      </c>
      <c r="Q5" s="31">
        <v>40523</v>
      </c>
      <c r="R5" s="31">
        <v>20678</v>
      </c>
      <c r="S5" s="31">
        <v>51118</v>
      </c>
      <c r="T5" s="31">
        <v>48398</v>
      </c>
      <c r="U5" s="31">
        <v>60624</v>
      </c>
      <c r="V5" s="32">
        <v>44051</v>
      </c>
    </row>
    <row r="6" spans="1:24">
      <c r="A6" s="80" t="s">
        <v>27</v>
      </c>
      <c r="B6" s="81" t="str">
        <f t="shared" si="0"/>
        <v/>
      </c>
      <c r="C6" s="155">
        <v>0</v>
      </c>
      <c r="D6" s="88">
        <v>0</v>
      </c>
      <c r="E6" s="126"/>
      <c r="F6" s="73"/>
      <c r="G6" s="73"/>
      <c r="H6" s="73"/>
      <c r="I6" s="73"/>
      <c r="J6" s="73"/>
      <c r="K6" s="73"/>
      <c r="L6" s="73"/>
      <c r="M6" s="73"/>
      <c r="N6" s="73"/>
      <c r="O6" s="31"/>
      <c r="P6" s="31"/>
      <c r="Q6" s="31"/>
      <c r="R6" s="31"/>
      <c r="S6" s="31">
        <v>1953</v>
      </c>
      <c r="T6" s="31">
        <v>2493</v>
      </c>
      <c r="U6" s="31">
        <v>4359</v>
      </c>
      <c r="V6" s="32">
        <v>3802</v>
      </c>
    </row>
    <row r="7" spans="1:24">
      <c r="A7" s="80" t="s">
        <v>140</v>
      </c>
      <c r="B7" s="81">
        <f t="shared" si="0"/>
        <v>-8.1330868761552683E-2</v>
      </c>
      <c r="C7" s="155">
        <v>-89</v>
      </c>
      <c r="D7" s="88">
        <v>1515</v>
      </c>
      <c r="E7" s="126">
        <v>8946</v>
      </c>
      <c r="F7" s="73">
        <v>9738</v>
      </c>
      <c r="G7" s="73">
        <v>8338</v>
      </c>
      <c r="H7" s="73">
        <v>5266</v>
      </c>
      <c r="I7" s="73">
        <v>5367</v>
      </c>
      <c r="J7" s="73">
        <v>3306</v>
      </c>
      <c r="K7" s="73">
        <v>3854</v>
      </c>
      <c r="L7" s="73">
        <v>4433</v>
      </c>
      <c r="M7" s="73">
        <v>3595</v>
      </c>
      <c r="N7" s="73">
        <v>4048</v>
      </c>
      <c r="O7" s="31">
        <v>3798</v>
      </c>
      <c r="P7" s="31">
        <v>2379</v>
      </c>
      <c r="Q7" s="31">
        <v>1282</v>
      </c>
      <c r="R7" s="31">
        <v>1324</v>
      </c>
      <c r="S7" s="31">
        <v>2445</v>
      </c>
      <c r="T7" s="31">
        <v>1705</v>
      </c>
      <c r="U7" s="31"/>
      <c r="V7" s="32"/>
    </row>
    <row r="8" spans="1:24">
      <c r="A8" s="80" t="s">
        <v>59</v>
      </c>
      <c r="B8" s="81">
        <f t="shared" si="0"/>
        <v>0.12696006321023184</v>
      </c>
      <c r="C8" s="155">
        <v>37026</v>
      </c>
      <c r="D8" s="88">
        <v>12321</v>
      </c>
      <c r="E8" s="126">
        <v>175435</v>
      </c>
      <c r="F8" s="73">
        <v>155671</v>
      </c>
      <c r="G8" s="73">
        <v>147369</v>
      </c>
      <c r="H8" s="73">
        <v>144069</v>
      </c>
      <c r="I8" s="73">
        <v>109252</v>
      </c>
      <c r="J8" s="73">
        <v>124759</v>
      </c>
      <c r="K8" s="73">
        <v>131237</v>
      </c>
      <c r="L8" s="73">
        <v>114353</v>
      </c>
      <c r="M8" s="73">
        <v>93225</v>
      </c>
      <c r="N8" s="73">
        <v>90213</v>
      </c>
      <c r="O8" s="31">
        <v>96768</v>
      </c>
      <c r="P8" s="31">
        <v>88404</v>
      </c>
      <c r="Q8" s="31">
        <v>76196</v>
      </c>
      <c r="R8" s="31">
        <v>61681</v>
      </c>
      <c r="S8" s="31">
        <v>66832</v>
      </c>
      <c r="T8" s="31">
        <v>58557</v>
      </c>
      <c r="U8" s="31">
        <v>49162</v>
      </c>
      <c r="V8" s="32">
        <v>31289</v>
      </c>
    </row>
    <row r="9" spans="1:24">
      <c r="A9" s="80" t="s">
        <v>1</v>
      </c>
      <c r="B9" s="81">
        <f t="shared" si="0"/>
        <v>3.0546623794212219E-2</v>
      </c>
      <c r="C9" s="155">
        <v>-409</v>
      </c>
      <c r="D9" s="88">
        <v>-732</v>
      </c>
      <c r="E9" s="126">
        <v>2564</v>
      </c>
      <c r="F9" s="73">
        <v>2488</v>
      </c>
      <c r="G9" s="73">
        <v>1975</v>
      </c>
      <c r="H9" s="73">
        <v>2160</v>
      </c>
      <c r="I9" s="73">
        <v>3051</v>
      </c>
      <c r="J9" s="73">
        <v>990</v>
      </c>
      <c r="K9" s="73">
        <v>2810</v>
      </c>
      <c r="L9" s="73">
        <v>3011</v>
      </c>
      <c r="M9" s="73">
        <v>2267</v>
      </c>
      <c r="N9" s="73">
        <v>2215</v>
      </c>
      <c r="O9" s="31">
        <v>1498</v>
      </c>
      <c r="P9" s="31">
        <v>1147</v>
      </c>
      <c r="Q9" s="31">
        <v>1213</v>
      </c>
      <c r="R9" s="31">
        <v>803</v>
      </c>
      <c r="S9" s="31">
        <v>1577</v>
      </c>
      <c r="T9" s="31">
        <v>1097</v>
      </c>
      <c r="U9" s="31">
        <v>2509</v>
      </c>
      <c r="V9" s="32">
        <v>1017</v>
      </c>
    </row>
    <row r="10" spans="1:24">
      <c r="A10" s="80" t="s">
        <v>11</v>
      </c>
      <c r="B10" s="81">
        <f t="shared" si="0"/>
        <v>3.6786786786786783E-2</v>
      </c>
      <c r="C10" s="155">
        <v>-2586</v>
      </c>
      <c r="D10" s="88">
        <v>-1733</v>
      </c>
      <c r="E10" s="126">
        <v>20715</v>
      </c>
      <c r="F10" s="73">
        <v>19980</v>
      </c>
      <c r="G10" s="73">
        <v>24866</v>
      </c>
      <c r="H10" s="73">
        <v>18737</v>
      </c>
      <c r="I10" s="73">
        <v>29794</v>
      </c>
      <c r="J10" s="73">
        <v>23689</v>
      </c>
      <c r="K10" s="73">
        <v>33435</v>
      </c>
      <c r="L10" s="73">
        <v>16479</v>
      </c>
      <c r="M10" s="73">
        <v>24125</v>
      </c>
      <c r="N10" s="73">
        <v>20606</v>
      </c>
      <c r="O10" s="31">
        <v>23595</v>
      </c>
      <c r="P10" s="31">
        <v>16581</v>
      </c>
      <c r="Q10" s="31">
        <v>27178</v>
      </c>
      <c r="R10" s="31">
        <v>15652</v>
      </c>
      <c r="S10" s="31">
        <v>20879</v>
      </c>
      <c r="T10" s="31">
        <v>23496</v>
      </c>
      <c r="U10" s="31">
        <v>23214</v>
      </c>
      <c r="V10" s="32">
        <v>19132</v>
      </c>
    </row>
    <row r="11" spans="1:24">
      <c r="A11" s="80" t="s">
        <v>8</v>
      </c>
      <c r="B11" s="81">
        <f t="shared" si="0"/>
        <v>-0.1507330637007078</v>
      </c>
      <c r="C11" s="155">
        <v>-27840</v>
      </c>
      <c r="D11" s="88">
        <v>-20471</v>
      </c>
      <c r="E11" s="126">
        <v>67194</v>
      </c>
      <c r="F11" s="73">
        <v>79120</v>
      </c>
      <c r="G11" s="73">
        <v>74134</v>
      </c>
      <c r="H11" s="73">
        <v>87822</v>
      </c>
      <c r="I11" s="73">
        <v>122380</v>
      </c>
      <c r="J11" s="73">
        <v>117781</v>
      </c>
      <c r="K11" s="73">
        <v>127352</v>
      </c>
      <c r="L11" s="73">
        <v>106225</v>
      </c>
      <c r="M11" s="73">
        <v>91844</v>
      </c>
      <c r="N11" s="73">
        <v>82707</v>
      </c>
      <c r="O11" s="31">
        <v>76900</v>
      </c>
      <c r="P11" s="31">
        <v>66640</v>
      </c>
      <c r="Q11" s="31">
        <v>68883</v>
      </c>
      <c r="R11" s="31">
        <v>51509</v>
      </c>
      <c r="S11" s="31">
        <v>69218</v>
      </c>
      <c r="T11" s="31">
        <v>76262</v>
      </c>
      <c r="U11" s="31">
        <v>70940</v>
      </c>
      <c r="V11" s="32">
        <v>63876</v>
      </c>
    </row>
    <row r="12" spans="1:24">
      <c r="A12" s="80" t="s">
        <v>2</v>
      </c>
      <c r="B12" s="81">
        <f t="shared" si="0"/>
        <v>-0.11693834160170093</v>
      </c>
      <c r="C12" s="155">
        <v>-33258</v>
      </c>
      <c r="D12" s="88">
        <v>-12216</v>
      </c>
      <c r="E12" s="126">
        <v>148274</v>
      </c>
      <c r="F12" s="73">
        <v>167909</v>
      </c>
      <c r="G12" s="73">
        <v>168930</v>
      </c>
      <c r="H12" s="73">
        <v>138972</v>
      </c>
      <c r="I12" s="73">
        <v>161238</v>
      </c>
      <c r="J12" s="73">
        <v>133850</v>
      </c>
      <c r="K12" s="73">
        <v>210654</v>
      </c>
      <c r="L12" s="73">
        <v>184948</v>
      </c>
      <c r="M12" s="73">
        <v>188015</v>
      </c>
      <c r="N12" s="73">
        <v>207531</v>
      </c>
      <c r="O12" s="31">
        <v>217415</v>
      </c>
      <c r="P12" s="31">
        <v>205989</v>
      </c>
      <c r="Q12" s="31">
        <v>241241</v>
      </c>
      <c r="R12" s="31">
        <v>128164</v>
      </c>
      <c r="S12" s="31">
        <v>227932</v>
      </c>
      <c r="T12" s="31">
        <v>229225</v>
      </c>
      <c r="U12" s="31">
        <v>250176</v>
      </c>
      <c r="V12" s="32">
        <v>175643</v>
      </c>
      <c r="X12" s="31"/>
    </row>
    <row r="13" spans="1:24">
      <c r="A13" s="80" t="s">
        <v>112</v>
      </c>
      <c r="B13" s="81">
        <f t="shared" si="0"/>
        <v>7.5952693823915896E-2</v>
      </c>
      <c r="C13" s="155">
        <v>311</v>
      </c>
      <c r="D13" s="88">
        <v>148</v>
      </c>
      <c r="E13" s="126">
        <v>4094</v>
      </c>
      <c r="F13" s="73">
        <v>3805</v>
      </c>
      <c r="G13" s="73">
        <v>3543</v>
      </c>
      <c r="H13" s="73">
        <v>3142</v>
      </c>
      <c r="I13" s="73">
        <v>3850</v>
      </c>
      <c r="J13" s="73">
        <v>2846</v>
      </c>
      <c r="K13" s="73">
        <v>3221</v>
      </c>
      <c r="L13" s="73">
        <v>2528</v>
      </c>
      <c r="M13" s="73">
        <v>2500</v>
      </c>
      <c r="N13" s="73">
        <v>2145</v>
      </c>
      <c r="O13" s="31">
        <v>1939</v>
      </c>
      <c r="P13" s="31">
        <v>1910</v>
      </c>
      <c r="Q13" s="31">
        <v>3137</v>
      </c>
      <c r="R13" s="31">
        <v>1887</v>
      </c>
      <c r="S13" s="31">
        <v>3338</v>
      </c>
      <c r="T13" s="31">
        <v>3412</v>
      </c>
      <c r="U13" s="31">
        <v>1697</v>
      </c>
      <c r="V13" s="32">
        <v>480</v>
      </c>
      <c r="X13" s="31"/>
    </row>
    <row r="14" spans="1:24">
      <c r="A14" s="80" t="s">
        <v>16</v>
      </c>
      <c r="B14" s="81">
        <f t="shared" si="0"/>
        <v>0.23125142900693546</v>
      </c>
      <c r="C14" s="155">
        <v>-7498</v>
      </c>
      <c r="D14" s="88">
        <v>-5049</v>
      </c>
      <c r="E14" s="126">
        <v>64621</v>
      </c>
      <c r="F14" s="73">
        <v>52484</v>
      </c>
      <c r="G14" s="73">
        <v>58185</v>
      </c>
      <c r="H14" s="73">
        <v>66824</v>
      </c>
      <c r="I14" s="73">
        <v>72286</v>
      </c>
      <c r="J14" s="73">
        <v>73525</v>
      </c>
      <c r="K14" s="73">
        <v>77198</v>
      </c>
      <c r="L14" s="73">
        <v>67881</v>
      </c>
      <c r="M14" s="73">
        <v>79486</v>
      </c>
      <c r="N14" s="73">
        <v>63210</v>
      </c>
      <c r="O14" s="31">
        <v>86236</v>
      </c>
      <c r="P14" s="31">
        <v>67711</v>
      </c>
      <c r="Q14" s="31">
        <v>87364</v>
      </c>
      <c r="R14" s="31">
        <v>56604</v>
      </c>
      <c r="S14" s="31">
        <v>88109</v>
      </c>
      <c r="T14" s="31">
        <v>77233</v>
      </c>
      <c r="U14" s="31">
        <v>76506</v>
      </c>
      <c r="V14" s="32">
        <v>74493</v>
      </c>
      <c r="X14" s="31"/>
    </row>
    <row r="15" spans="1:24">
      <c r="A15" s="80" t="s">
        <v>113</v>
      </c>
      <c r="B15" s="81">
        <f t="shared" si="0"/>
        <v>-0.61100076394194036</v>
      </c>
      <c r="C15" s="155">
        <v>-1398</v>
      </c>
      <c r="D15" s="88">
        <v>-4287</v>
      </c>
      <c r="E15" s="126">
        <v>2546</v>
      </c>
      <c r="F15" s="73">
        <v>6545</v>
      </c>
      <c r="G15" s="73">
        <v>8486</v>
      </c>
      <c r="H15" s="73">
        <v>8884</v>
      </c>
      <c r="I15" s="73">
        <v>10446</v>
      </c>
      <c r="J15" s="73">
        <v>3214</v>
      </c>
      <c r="K15" s="73">
        <v>8612</v>
      </c>
      <c r="L15" s="73">
        <v>6659</v>
      </c>
      <c r="M15" s="73">
        <v>5996</v>
      </c>
      <c r="N15" s="73">
        <v>6744</v>
      </c>
      <c r="O15" s="31">
        <v>5888</v>
      </c>
      <c r="P15" s="31">
        <v>9241</v>
      </c>
      <c r="Q15" s="31">
        <v>8798</v>
      </c>
      <c r="R15" s="31">
        <v>4578</v>
      </c>
      <c r="S15" s="31">
        <v>2407</v>
      </c>
      <c r="T15" s="31">
        <v>5350</v>
      </c>
      <c r="U15" s="31">
        <v>666</v>
      </c>
      <c r="V15" s="32">
        <v>6452</v>
      </c>
    </row>
    <row r="16" spans="1:24">
      <c r="A16" s="80" t="s">
        <v>9</v>
      </c>
      <c r="B16" s="81" t="str">
        <f t="shared" si="0"/>
        <v/>
      </c>
      <c r="C16" s="155">
        <v>0</v>
      </c>
      <c r="D16" s="88">
        <v>0</v>
      </c>
      <c r="E16" s="126"/>
      <c r="F16" s="73"/>
      <c r="G16" s="73"/>
      <c r="H16" s="73"/>
      <c r="I16" s="73">
        <v>593</v>
      </c>
      <c r="J16" s="73">
        <v>1244</v>
      </c>
      <c r="K16" s="73">
        <v>1539</v>
      </c>
      <c r="L16" s="73">
        <v>1333</v>
      </c>
      <c r="M16" s="73">
        <v>1158</v>
      </c>
      <c r="N16" s="73">
        <v>1112</v>
      </c>
      <c r="O16" s="31">
        <v>1054</v>
      </c>
      <c r="P16" s="31">
        <v>983</v>
      </c>
      <c r="Q16" s="31">
        <v>1966</v>
      </c>
      <c r="R16" s="31">
        <v>991</v>
      </c>
      <c r="S16" s="31">
        <v>1868</v>
      </c>
      <c r="T16" s="31">
        <v>1523</v>
      </c>
      <c r="U16" s="31">
        <v>2181</v>
      </c>
      <c r="V16" s="32">
        <v>1894</v>
      </c>
      <c r="W16" s="31"/>
    </row>
    <row r="17" spans="1:23">
      <c r="A17" s="80" t="s">
        <v>114</v>
      </c>
      <c r="B17" s="81">
        <f t="shared" si="0"/>
        <v>3.5493605403075154E-2</v>
      </c>
      <c r="C17" s="155">
        <v>-1963</v>
      </c>
      <c r="D17" s="88">
        <v>-3577</v>
      </c>
      <c r="E17" s="126">
        <v>21618</v>
      </c>
      <c r="F17" s="73">
        <v>20877</v>
      </c>
      <c r="G17" s="73">
        <v>24724</v>
      </c>
      <c r="H17" s="73">
        <v>25567</v>
      </c>
      <c r="I17" s="73">
        <v>29346</v>
      </c>
      <c r="J17" s="73">
        <v>22552</v>
      </c>
      <c r="K17" s="73">
        <v>22929</v>
      </c>
      <c r="L17" s="73">
        <v>17619</v>
      </c>
      <c r="M17" s="73">
        <v>15173</v>
      </c>
      <c r="N17" s="73">
        <v>9449</v>
      </c>
      <c r="O17" s="31">
        <v>13064</v>
      </c>
      <c r="P17" s="31">
        <v>10002</v>
      </c>
      <c r="Q17" s="31">
        <v>9837</v>
      </c>
      <c r="R17" s="31">
        <v>6611</v>
      </c>
      <c r="S17" s="31">
        <v>9634</v>
      </c>
      <c r="T17" s="31">
        <v>8438</v>
      </c>
      <c r="U17" s="31">
        <v>7865</v>
      </c>
      <c r="V17" s="32">
        <v>4873</v>
      </c>
      <c r="W17" s="31"/>
    </row>
    <row r="18" spans="1:23">
      <c r="A18" s="80" t="s">
        <v>25</v>
      </c>
      <c r="B18" s="81">
        <f t="shared" si="0"/>
        <v>0.1081933896673441</v>
      </c>
      <c r="C18" s="155">
        <v>-1435</v>
      </c>
      <c r="D18" s="88">
        <v>-4754</v>
      </c>
      <c r="E18" s="126">
        <v>20721</v>
      </c>
      <c r="F18" s="73">
        <v>18698</v>
      </c>
      <c r="G18" s="73">
        <v>16615</v>
      </c>
      <c r="H18" s="73">
        <v>13872</v>
      </c>
      <c r="I18" s="73">
        <v>17432</v>
      </c>
      <c r="J18" s="73">
        <v>12018</v>
      </c>
      <c r="K18" s="73">
        <v>13704</v>
      </c>
      <c r="L18" s="73">
        <v>13208</v>
      </c>
      <c r="M18" s="73">
        <v>10721</v>
      </c>
      <c r="N18" s="73">
        <v>9979</v>
      </c>
      <c r="O18" s="31">
        <v>9043</v>
      </c>
      <c r="P18" s="31">
        <v>4612</v>
      </c>
      <c r="Q18" s="31">
        <v>6625</v>
      </c>
      <c r="R18" s="31">
        <v>2663</v>
      </c>
      <c r="S18" s="31">
        <v>6311</v>
      </c>
      <c r="T18" s="31">
        <v>7244</v>
      </c>
      <c r="U18" s="31">
        <v>10464</v>
      </c>
      <c r="V18" s="32">
        <v>8322</v>
      </c>
      <c r="W18" s="31"/>
    </row>
    <row r="19" spans="1:23">
      <c r="A19" s="80" t="s">
        <v>116</v>
      </c>
      <c r="B19" s="81">
        <f t="shared" si="0"/>
        <v>-0.53376623376623378</v>
      </c>
      <c r="C19" s="155">
        <v>-10739</v>
      </c>
      <c r="D19" s="88">
        <v>-11560</v>
      </c>
      <c r="E19" s="126">
        <v>359</v>
      </c>
      <c r="F19" s="73">
        <v>770</v>
      </c>
      <c r="G19" s="73">
        <v>366</v>
      </c>
      <c r="H19" s="73">
        <v>503</v>
      </c>
      <c r="I19" s="73">
        <v>169</v>
      </c>
      <c r="J19" s="73">
        <v>609</v>
      </c>
      <c r="K19" s="73">
        <v>1251</v>
      </c>
      <c r="L19" s="73">
        <v>554</v>
      </c>
      <c r="M19" s="73">
        <v>267</v>
      </c>
      <c r="N19" s="73">
        <v>663</v>
      </c>
      <c r="O19" s="31">
        <v>796</v>
      </c>
      <c r="P19" s="31">
        <v>341</v>
      </c>
      <c r="Q19" s="31">
        <v>609</v>
      </c>
      <c r="R19" s="31">
        <v>281</v>
      </c>
      <c r="S19" s="31">
        <v>1326</v>
      </c>
      <c r="T19" s="31">
        <v>396</v>
      </c>
      <c r="U19" s="31">
        <v>1761</v>
      </c>
      <c r="V19" s="32">
        <v>630</v>
      </c>
    </row>
    <row r="20" spans="1:23">
      <c r="A20" s="80" t="s">
        <v>86</v>
      </c>
      <c r="B20" s="81">
        <f t="shared" si="0"/>
        <v>7.6741505187462256E-2</v>
      </c>
      <c r="C20" s="155">
        <v>18685</v>
      </c>
      <c r="D20" s="88">
        <v>15562</v>
      </c>
      <c r="E20" s="126">
        <v>19615</v>
      </c>
      <c r="F20" s="73">
        <v>18217</v>
      </c>
      <c r="G20" s="73">
        <v>23762</v>
      </c>
      <c r="H20" s="73">
        <v>17785</v>
      </c>
      <c r="I20" s="73">
        <v>19293</v>
      </c>
      <c r="J20" s="73">
        <v>16162</v>
      </c>
      <c r="K20" s="73">
        <v>17116</v>
      </c>
      <c r="L20" s="73">
        <v>15547</v>
      </c>
      <c r="M20" s="73">
        <v>15163</v>
      </c>
      <c r="N20" s="73">
        <v>14055</v>
      </c>
      <c r="O20" s="31">
        <v>14014</v>
      </c>
      <c r="P20" s="31">
        <v>12315</v>
      </c>
      <c r="Q20" s="31">
        <v>16966</v>
      </c>
      <c r="R20" s="31">
        <v>5128</v>
      </c>
      <c r="S20" s="31">
        <v>16425</v>
      </c>
      <c r="T20" s="31">
        <v>14157</v>
      </c>
      <c r="U20" s="31">
        <v>14410</v>
      </c>
      <c r="V20" s="32">
        <v>13700</v>
      </c>
    </row>
    <row r="21" spans="1:23">
      <c r="A21" s="80" t="s">
        <v>115</v>
      </c>
      <c r="B21" s="81">
        <f t="shared" si="0"/>
        <v>-0.1882301656495205</v>
      </c>
      <c r="C21" s="155">
        <v>-15472</v>
      </c>
      <c r="D21" s="88">
        <v>-9916</v>
      </c>
      <c r="E21" s="126">
        <v>9311</v>
      </c>
      <c r="F21" s="73">
        <v>11470</v>
      </c>
      <c r="G21" s="73">
        <v>10350</v>
      </c>
      <c r="H21" s="73">
        <v>14292</v>
      </c>
      <c r="I21" s="73">
        <v>16855</v>
      </c>
      <c r="J21" s="73">
        <v>18295</v>
      </c>
      <c r="K21" s="73">
        <v>27553</v>
      </c>
      <c r="L21" s="73">
        <v>18478</v>
      </c>
      <c r="M21" s="73">
        <v>20350</v>
      </c>
      <c r="N21" s="73">
        <v>17496</v>
      </c>
      <c r="O21" s="31">
        <v>17830</v>
      </c>
      <c r="P21" s="31">
        <v>15068</v>
      </c>
      <c r="Q21" s="31">
        <v>22006</v>
      </c>
      <c r="R21" s="31">
        <v>10028</v>
      </c>
      <c r="S21" s="31">
        <v>19562</v>
      </c>
      <c r="T21" s="31">
        <v>19536</v>
      </c>
      <c r="U21" s="31">
        <v>23231</v>
      </c>
      <c r="V21" s="32">
        <v>16164</v>
      </c>
    </row>
    <row r="22" spans="1:23">
      <c r="A22" s="80" t="s">
        <v>101</v>
      </c>
      <c r="B22" s="81" t="str">
        <f t="shared" si="0"/>
        <v/>
      </c>
      <c r="C22" s="155">
        <v>0</v>
      </c>
      <c r="D22" s="88">
        <v>0</v>
      </c>
      <c r="E22" s="126"/>
      <c r="F22" s="73"/>
      <c r="G22" s="73"/>
      <c r="H22" s="73"/>
      <c r="I22" s="73">
        <v>420</v>
      </c>
      <c r="J22" s="73">
        <v>982</v>
      </c>
      <c r="K22" s="73">
        <v>1610</v>
      </c>
      <c r="L22" s="73">
        <v>1476</v>
      </c>
      <c r="M22" s="73">
        <v>838</v>
      </c>
      <c r="N22" s="73">
        <v>998</v>
      </c>
      <c r="O22" s="31">
        <v>1654</v>
      </c>
      <c r="P22" s="31">
        <v>1112</v>
      </c>
      <c r="Q22" s="31">
        <v>2016</v>
      </c>
      <c r="R22" s="31">
        <v>952</v>
      </c>
      <c r="S22" s="31">
        <v>1845</v>
      </c>
      <c r="T22" s="31">
        <v>1371</v>
      </c>
      <c r="U22" s="31">
        <v>2650</v>
      </c>
      <c r="V22" s="32">
        <v>616</v>
      </c>
    </row>
    <row r="23" spans="1:23">
      <c r="A23" s="80" t="s">
        <v>117</v>
      </c>
      <c r="B23" s="81" t="str">
        <f t="shared" si="0"/>
        <v/>
      </c>
      <c r="C23" s="155">
        <v>0</v>
      </c>
      <c r="D23" s="88">
        <v>0</v>
      </c>
      <c r="E23" s="126"/>
      <c r="F23" s="73"/>
      <c r="G23" s="73"/>
      <c r="H23" s="73"/>
      <c r="I23" s="73">
        <v>11561</v>
      </c>
      <c r="J23" s="73">
        <v>10456</v>
      </c>
      <c r="K23" s="73">
        <v>10342</v>
      </c>
      <c r="L23" s="73">
        <v>10481</v>
      </c>
      <c r="M23" s="73">
        <v>7937</v>
      </c>
      <c r="N23" s="73">
        <v>5787</v>
      </c>
      <c r="O23" s="31">
        <v>6525</v>
      </c>
      <c r="P23" s="31">
        <v>7881</v>
      </c>
      <c r="Q23" s="31">
        <v>6617</v>
      </c>
      <c r="R23" s="31">
        <v>6002</v>
      </c>
      <c r="S23" s="31">
        <v>5791</v>
      </c>
      <c r="T23" s="31">
        <v>7386</v>
      </c>
      <c r="U23" s="31">
        <v>1769</v>
      </c>
      <c r="V23" s="32">
        <v>2634</v>
      </c>
    </row>
    <row r="24" spans="1:23">
      <c r="A24" s="80" t="s">
        <v>118</v>
      </c>
      <c r="B24" s="81">
        <f t="shared" si="0"/>
        <v>-7.0037105751391465E-2</v>
      </c>
      <c r="C24" s="155">
        <v>484</v>
      </c>
      <c r="D24" s="88">
        <v>1944</v>
      </c>
      <c r="E24" s="126">
        <v>2005</v>
      </c>
      <c r="F24" s="73">
        <v>2156</v>
      </c>
      <c r="G24" s="73">
        <v>2031</v>
      </c>
      <c r="H24" s="73">
        <v>2402</v>
      </c>
      <c r="I24" s="73">
        <v>2646</v>
      </c>
      <c r="J24" s="73">
        <v>2850</v>
      </c>
      <c r="K24" s="73">
        <v>3245</v>
      </c>
      <c r="L24" s="73">
        <v>3872</v>
      </c>
      <c r="M24" s="73">
        <v>3935</v>
      </c>
      <c r="N24" s="73">
        <v>5400</v>
      </c>
      <c r="O24" s="31">
        <v>4702</v>
      </c>
      <c r="P24" s="31">
        <v>4095</v>
      </c>
      <c r="Q24" s="31">
        <v>6598</v>
      </c>
      <c r="R24" s="31">
        <v>4456</v>
      </c>
      <c r="S24" s="31">
        <v>3821</v>
      </c>
      <c r="T24" s="31">
        <v>4595</v>
      </c>
      <c r="U24" s="31">
        <v>4919</v>
      </c>
      <c r="V24" s="32">
        <v>3571</v>
      </c>
    </row>
    <row r="25" spans="1:23" ht="13.8" thickBot="1">
      <c r="A25" s="83" t="s">
        <v>5</v>
      </c>
      <c r="B25" s="84">
        <f t="shared" si="0"/>
        <v>0.20853518944605673</v>
      </c>
      <c r="C25" s="183">
        <v>-12559</v>
      </c>
      <c r="D25" s="103">
        <v>3869</v>
      </c>
      <c r="E25" s="184">
        <v>104525</v>
      </c>
      <c r="F25" s="73">
        <v>86489</v>
      </c>
      <c r="G25" s="73">
        <v>85015</v>
      </c>
      <c r="H25" s="73">
        <v>32738</v>
      </c>
      <c r="I25" s="73">
        <v>16278</v>
      </c>
      <c r="J25" s="73">
        <v>22351</v>
      </c>
      <c r="K25" s="73">
        <v>15548</v>
      </c>
      <c r="L25" s="73">
        <v>11851</v>
      </c>
      <c r="M25" s="73">
        <v>7064</v>
      </c>
      <c r="N25" s="73">
        <v>5586</v>
      </c>
      <c r="O25" s="31">
        <v>4372</v>
      </c>
      <c r="P25" s="31">
        <v>4198</v>
      </c>
      <c r="Q25" s="31">
        <v>9109</v>
      </c>
      <c r="R25" s="31">
        <v>6984</v>
      </c>
      <c r="S25" s="31">
        <v>4480</v>
      </c>
      <c r="T25" s="31">
        <v>5032</v>
      </c>
      <c r="U25" s="31">
        <v>10599</v>
      </c>
      <c r="V25" s="32">
        <v>9273</v>
      </c>
    </row>
    <row r="26" spans="1:23" ht="13.8" thickBot="1">
      <c r="A26" s="79" t="s">
        <v>92</v>
      </c>
      <c r="B26" s="86">
        <f t="shared" si="0"/>
        <v>2.8396336535871418E-2</v>
      </c>
      <c r="C26" s="146">
        <v>-65633</v>
      </c>
      <c r="D26" s="172">
        <v>-40244</v>
      </c>
      <c r="E26" s="173">
        <f t="shared" ref="E26" si="1">SUM(E2:E25)</f>
        <v>733008</v>
      </c>
      <c r="F26" s="102">
        <f t="shared" ref="F26:K26" si="2">SUM(F2:F25)</f>
        <v>712768</v>
      </c>
      <c r="G26" s="102">
        <f t="shared" si="2"/>
        <v>715814</v>
      </c>
      <c r="H26" s="102">
        <f t="shared" si="2"/>
        <v>637304</v>
      </c>
      <c r="I26" s="102">
        <f t="shared" si="2"/>
        <v>692608</v>
      </c>
      <c r="J26" s="102">
        <f t="shared" si="2"/>
        <v>650624</v>
      </c>
      <c r="K26" s="102">
        <f t="shared" si="2"/>
        <v>783522</v>
      </c>
      <c r="L26" s="102"/>
      <c r="M26" s="102">
        <v>634624</v>
      </c>
      <c r="N26" s="102">
        <f>SUM(N2:N25)</f>
        <v>618910</v>
      </c>
      <c r="O26" s="102">
        <f>SUM(O2:O25)</f>
        <v>659900</v>
      </c>
      <c r="P26" s="102">
        <f>SUM(P2:P25)</f>
        <v>588688</v>
      </c>
      <c r="Q26" s="102">
        <f t="shared" ref="Q26:V26" si="3">SUM(Q2:Q25)</f>
        <v>683677</v>
      </c>
      <c r="R26" s="102">
        <f t="shared" si="3"/>
        <v>416465</v>
      </c>
      <c r="S26" s="102">
        <f t="shared" si="3"/>
        <v>648826</v>
      </c>
      <c r="T26" s="102">
        <f t="shared" si="3"/>
        <v>639091</v>
      </c>
      <c r="U26" s="102">
        <f t="shared" si="3"/>
        <v>659972</v>
      </c>
      <c r="V26" s="111">
        <f t="shared" si="3"/>
        <v>508982</v>
      </c>
    </row>
    <row r="28" spans="1:23" ht="13.8" thickBot="1">
      <c r="A28" s="45"/>
      <c r="B28" s="26"/>
      <c r="C28" s="26"/>
      <c r="D28" s="26"/>
      <c r="E28" s="26"/>
    </row>
    <row r="29" spans="1:23" ht="13.8" thickBot="1">
      <c r="A29" s="79" t="s">
        <v>22</v>
      </c>
      <c r="B29" s="12" t="s">
        <v>169</v>
      </c>
      <c r="C29" s="132" t="s">
        <v>170</v>
      </c>
      <c r="D29" s="133" t="s">
        <v>168</v>
      </c>
      <c r="E29" s="134">
        <v>45992</v>
      </c>
      <c r="F29" s="13">
        <v>45627</v>
      </c>
      <c r="G29" s="13">
        <v>45261</v>
      </c>
      <c r="H29" s="13">
        <v>44896</v>
      </c>
      <c r="I29" s="13">
        <v>44531</v>
      </c>
      <c r="J29" s="13">
        <v>44166</v>
      </c>
      <c r="K29" s="13">
        <v>43800</v>
      </c>
      <c r="L29" s="13">
        <v>43435</v>
      </c>
      <c r="M29" s="13">
        <v>43070</v>
      </c>
      <c r="N29" s="13">
        <v>42705</v>
      </c>
      <c r="O29" s="28">
        <f>O1</f>
        <v>42339</v>
      </c>
      <c r="P29" s="28">
        <f>P1</f>
        <v>41974</v>
      </c>
      <c r="Q29" s="28">
        <v>41609</v>
      </c>
      <c r="R29" s="28">
        <v>41244</v>
      </c>
      <c r="S29" s="28">
        <v>40878</v>
      </c>
      <c r="T29" s="28">
        <v>40513</v>
      </c>
      <c r="U29" s="28">
        <v>40148</v>
      </c>
      <c r="V29" s="44">
        <v>39783</v>
      </c>
    </row>
    <row r="30" spans="1:23">
      <c r="A30" s="29" t="s">
        <v>119</v>
      </c>
      <c r="B30" s="81">
        <f t="shared" ref="B30:B38" si="4">IFERROR(((E30-F30)/F30),"")</f>
        <v>6.6577540106951869E-2</v>
      </c>
      <c r="C30" s="155">
        <v>1576</v>
      </c>
      <c r="D30" s="88">
        <v>474</v>
      </c>
      <c r="E30" s="126">
        <v>3989</v>
      </c>
      <c r="F30" s="73">
        <v>3740</v>
      </c>
      <c r="G30" s="73">
        <v>3639</v>
      </c>
      <c r="H30" s="73">
        <v>3118</v>
      </c>
      <c r="I30" s="73">
        <v>2801</v>
      </c>
      <c r="J30" s="73">
        <v>3439</v>
      </c>
      <c r="K30" s="73">
        <v>1818</v>
      </c>
      <c r="L30" s="73">
        <v>2056</v>
      </c>
      <c r="M30" s="73">
        <v>2414</v>
      </c>
      <c r="N30" s="73">
        <v>2653</v>
      </c>
      <c r="O30" s="73">
        <v>2428</v>
      </c>
      <c r="P30" s="73">
        <v>2343</v>
      </c>
      <c r="Q30" s="73">
        <v>4036</v>
      </c>
      <c r="R30" s="73">
        <v>1439</v>
      </c>
      <c r="S30" s="73">
        <v>3665</v>
      </c>
      <c r="U30" s="73">
        <v>3017</v>
      </c>
      <c r="V30" s="71">
        <v>1309</v>
      </c>
    </row>
    <row r="31" spans="1:23">
      <c r="A31" s="29" t="s">
        <v>120</v>
      </c>
      <c r="B31" s="81" t="str">
        <f t="shared" si="4"/>
        <v/>
      </c>
      <c r="C31" s="155">
        <v>0</v>
      </c>
      <c r="D31" s="88">
        <v>0</v>
      </c>
      <c r="E31" s="126"/>
      <c r="F31" s="73"/>
      <c r="G31" s="73"/>
      <c r="H31" s="73"/>
      <c r="I31" s="73"/>
      <c r="J31" s="73"/>
      <c r="K31" s="73"/>
      <c r="L31" s="73"/>
      <c r="M31" s="73"/>
      <c r="N31" s="73"/>
      <c r="O31" s="31"/>
      <c r="P31" s="31"/>
      <c r="Q31" s="31"/>
      <c r="R31" s="31"/>
      <c r="S31" s="31"/>
      <c r="T31" s="73"/>
      <c r="U31" s="73">
        <v>31</v>
      </c>
      <c r="V31" s="71">
        <v>0</v>
      </c>
    </row>
    <row r="32" spans="1:23">
      <c r="A32" s="29" t="s">
        <v>6</v>
      </c>
      <c r="B32" s="81">
        <f t="shared" si="4"/>
        <v>0.20198392337951085</v>
      </c>
      <c r="C32" s="155">
        <v>-4195</v>
      </c>
      <c r="D32" s="88">
        <v>-2179</v>
      </c>
      <c r="E32" s="126">
        <v>7028</v>
      </c>
      <c r="F32" s="73">
        <v>5847</v>
      </c>
      <c r="G32" s="73">
        <v>4794</v>
      </c>
      <c r="H32" s="73">
        <v>5093</v>
      </c>
      <c r="I32" s="73">
        <v>3832</v>
      </c>
      <c r="J32" s="73">
        <v>5418</v>
      </c>
      <c r="K32" s="73">
        <v>5812</v>
      </c>
      <c r="L32" s="73">
        <v>5832</v>
      </c>
      <c r="M32" s="73">
        <v>4574</v>
      </c>
      <c r="N32" s="73">
        <v>4429</v>
      </c>
      <c r="O32" s="31">
        <v>3291</v>
      </c>
      <c r="P32" s="31">
        <v>2035</v>
      </c>
      <c r="Q32" s="31">
        <v>4430</v>
      </c>
      <c r="R32" s="31">
        <v>2033</v>
      </c>
      <c r="S32" s="31">
        <v>3967</v>
      </c>
      <c r="T32" s="31"/>
      <c r="U32" s="31">
        <v>4851</v>
      </c>
      <c r="V32" s="32">
        <v>2198</v>
      </c>
    </row>
    <row r="33" spans="1:22">
      <c r="A33" s="29" t="s">
        <v>93</v>
      </c>
      <c r="B33" s="81">
        <f t="shared" si="4"/>
        <v>0.60445286594031267</v>
      </c>
      <c r="C33" s="155">
        <v>-1261</v>
      </c>
      <c r="D33" s="88">
        <v>-495</v>
      </c>
      <c r="E33" s="126">
        <v>3387</v>
      </c>
      <c r="F33" s="73">
        <v>2111</v>
      </c>
      <c r="G33" s="73">
        <v>1979</v>
      </c>
      <c r="H33" s="73">
        <v>2503</v>
      </c>
      <c r="I33" s="73">
        <v>1334</v>
      </c>
      <c r="J33" s="73">
        <v>3114</v>
      </c>
      <c r="K33" s="73">
        <v>1799</v>
      </c>
      <c r="L33" s="73">
        <v>2964</v>
      </c>
      <c r="M33" s="73">
        <v>1976</v>
      </c>
      <c r="N33" s="73">
        <v>2012</v>
      </c>
      <c r="O33" s="31">
        <v>2041</v>
      </c>
      <c r="P33" s="31">
        <v>1662</v>
      </c>
      <c r="Q33" s="31">
        <v>1489</v>
      </c>
      <c r="R33" s="31">
        <v>457</v>
      </c>
      <c r="S33" s="31">
        <v>1769</v>
      </c>
      <c r="T33" s="31"/>
      <c r="U33" s="31">
        <v>2419</v>
      </c>
      <c r="V33" s="32">
        <v>944</v>
      </c>
    </row>
    <row r="34" spans="1:22">
      <c r="A34" s="29" t="s">
        <v>88</v>
      </c>
      <c r="B34" s="81">
        <f t="shared" si="4"/>
        <v>-1</v>
      </c>
      <c r="C34" s="155">
        <v>0</v>
      </c>
      <c r="D34" s="88">
        <v>-92</v>
      </c>
      <c r="E34" s="126"/>
      <c r="F34" s="73">
        <v>33</v>
      </c>
      <c r="G34" s="73"/>
      <c r="H34" s="73"/>
      <c r="I34" s="73"/>
      <c r="J34" s="73"/>
      <c r="K34" s="73">
        <v>0</v>
      </c>
      <c r="L34" s="73">
        <v>0</v>
      </c>
      <c r="M34" s="73"/>
      <c r="N34" s="73"/>
      <c r="O34" s="31"/>
      <c r="P34" s="31"/>
      <c r="Q34" s="31">
        <v>116</v>
      </c>
      <c r="R34" s="31"/>
      <c r="S34" s="31"/>
      <c r="T34" s="31"/>
      <c r="U34" s="31"/>
      <c r="V34" s="32"/>
    </row>
    <row r="35" spans="1:22">
      <c r="A35" s="29" t="s">
        <v>121</v>
      </c>
      <c r="B35" s="81">
        <f t="shared" si="4"/>
        <v>0.71957671957671954</v>
      </c>
      <c r="C35" s="155">
        <v>-197</v>
      </c>
      <c r="D35" s="88">
        <v>-82</v>
      </c>
      <c r="E35" s="126">
        <v>650</v>
      </c>
      <c r="F35" s="73">
        <v>378</v>
      </c>
      <c r="G35" s="73">
        <v>388</v>
      </c>
      <c r="H35" s="73">
        <v>733</v>
      </c>
      <c r="I35" s="73">
        <v>243</v>
      </c>
      <c r="J35" s="73">
        <v>1485</v>
      </c>
      <c r="K35" s="73">
        <v>1068</v>
      </c>
      <c r="L35" s="73">
        <v>1215</v>
      </c>
      <c r="M35" s="73">
        <v>879</v>
      </c>
      <c r="N35" s="73">
        <v>1081</v>
      </c>
      <c r="O35" s="31">
        <v>1384</v>
      </c>
      <c r="P35" s="31">
        <v>1234</v>
      </c>
      <c r="Q35" s="31">
        <v>895</v>
      </c>
      <c r="R35" s="31">
        <v>1248</v>
      </c>
      <c r="S35" s="31">
        <v>655</v>
      </c>
      <c r="T35" s="31"/>
      <c r="U35" s="31">
        <v>1025</v>
      </c>
      <c r="V35" s="32">
        <v>836</v>
      </c>
    </row>
    <row r="36" spans="1:22">
      <c r="A36" s="29" t="s">
        <v>122</v>
      </c>
      <c r="B36" s="81">
        <f t="shared" si="4"/>
        <v>1.1007306889352819</v>
      </c>
      <c r="C36" s="155">
        <v>-4397</v>
      </c>
      <c r="D36" s="88">
        <v>-4313</v>
      </c>
      <c r="E36" s="126">
        <v>4025</v>
      </c>
      <c r="F36" s="73">
        <v>1916</v>
      </c>
      <c r="G36" s="73">
        <v>342</v>
      </c>
      <c r="H36" s="73">
        <v>63</v>
      </c>
      <c r="I36" s="73">
        <v>314</v>
      </c>
      <c r="J36" s="73">
        <v>2002</v>
      </c>
      <c r="K36" s="73">
        <v>3058</v>
      </c>
      <c r="L36" s="73">
        <v>845</v>
      </c>
      <c r="M36" s="73">
        <v>418</v>
      </c>
      <c r="N36" s="73">
        <v>542</v>
      </c>
      <c r="O36" s="31">
        <v>15</v>
      </c>
      <c r="P36" s="31">
        <v>28</v>
      </c>
      <c r="Q36" s="31">
        <v>347</v>
      </c>
      <c r="R36" s="31"/>
      <c r="S36" s="31">
        <v>269</v>
      </c>
      <c r="T36" s="31"/>
      <c r="U36" s="31">
        <v>301</v>
      </c>
      <c r="V36" s="32">
        <v>20</v>
      </c>
    </row>
    <row r="37" spans="1:22" ht="13.8" thickBot="1">
      <c r="A37" s="33" t="s">
        <v>5</v>
      </c>
      <c r="B37" s="84">
        <f t="shared" si="4"/>
        <v>-0.26207122569368579</v>
      </c>
      <c r="C37" s="183">
        <v>-3076</v>
      </c>
      <c r="D37" s="103">
        <v>-245</v>
      </c>
      <c r="E37" s="184">
        <v>6755</v>
      </c>
      <c r="F37" s="74">
        <v>9154</v>
      </c>
      <c r="G37" s="74">
        <v>2861</v>
      </c>
      <c r="H37" s="74">
        <v>1674</v>
      </c>
      <c r="I37" s="74">
        <v>1105</v>
      </c>
      <c r="J37" s="74">
        <v>1856</v>
      </c>
      <c r="K37" s="74">
        <v>1011</v>
      </c>
      <c r="L37" s="74">
        <v>753</v>
      </c>
      <c r="M37" s="74">
        <v>1551</v>
      </c>
      <c r="N37" s="74">
        <v>2048</v>
      </c>
      <c r="O37" s="35">
        <v>430</v>
      </c>
      <c r="P37" s="35">
        <v>464</v>
      </c>
      <c r="Q37" s="35">
        <v>1032</v>
      </c>
      <c r="R37" s="35">
        <v>547</v>
      </c>
      <c r="S37" s="35">
        <v>546</v>
      </c>
      <c r="T37" s="35"/>
      <c r="U37" s="35">
        <v>749</v>
      </c>
      <c r="V37" s="36">
        <v>251</v>
      </c>
    </row>
    <row r="38" spans="1:22" ht="13.8" thickBot="1">
      <c r="A38" s="79" t="s">
        <v>92</v>
      </c>
      <c r="B38" s="86">
        <f t="shared" si="4"/>
        <v>0.11454333664092498</v>
      </c>
      <c r="C38" s="146">
        <v>-11550</v>
      </c>
      <c r="D38" s="172">
        <v>-6932</v>
      </c>
      <c r="E38" s="173">
        <f t="shared" ref="E38" si="5">SUM(E30:E37)</f>
        <v>25834</v>
      </c>
      <c r="F38" s="75">
        <f t="shared" ref="F38:L38" si="6">SUM(F30:F37)</f>
        <v>23179</v>
      </c>
      <c r="G38" s="75">
        <f t="shared" si="6"/>
        <v>14003</v>
      </c>
      <c r="H38" s="75">
        <f t="shared" si="6"/>
        <v>13184</v>
      </c>
      <c r="I38" s="75">
        <f t="shared" si="6"/>
        <v>9629</v>
      </c>
      <c r="J38" s="75">
        <f t="shared" si="6"/>
        <v>17314</v>
      </c>
      <c r="K38" s="75">
        <f t="shared" si="6"/>
        <v>14566</v>
      </c>
      <c r="L38" s="75">
        <f t="shared" si="6"/>
        <v>13665</v>
      </c>
      <c r="M38" s="75">
        <v>11812</v>
      </c>
      <c r="N38" s="75">
        <f t="shared" ref="N38:S38" si="7">SUM(N30:N37)</f>
        <v>12765</v>
      </c>
      <c r="O38" s="75">
        <f t="shared" si="7"/>
        <v>9589</v>
      </c>
      <c r="P38" s="75">
        <f t="shared" si="7"/>
        <v>7766</v>
      </c>
      <c r="Q38" s="75">
        <f t="shared" si="7"/>
        <v>12345</v>
      </c>
      <c r="R38" s="75">
        <f t="shared" si="7"/>
        <v>5724</v>
      </c>
      <c r="S38" s="75">
        <f t="shared" si="7"/>
        <v>10871</v>
      </c>
      <c r="T38" s="75"/>
      <c r="U38" s="75">
        <f>SUM(U30:U37)</f>
        <v>12393</v>
      </c>
      <c r="V38" s="72">
        <f>SUM(V30:V37)</f>
        <v>5558</v>
      </c>
    </row>
  </sheetData>
  <conditionalFormatting sqref="E1">
    <cfRule type="expression" dxfId="17" priority="2">
      <formula>ISBLANK(XFD1)=FALSE</formula>
    </cfRule>
  </conditionalFormatting>
  <conditionalFormatting sqref="E29">
    <cfRule type="expression" dxfId="16" priority="1">
      <formula>ISBLANK(XFD29)=FALSE</formula>
    </cfRule>
  </conditionalFormatting>
  <pageMargins left="0.75" right="0.75" top="1" bottom="1" header="0.5" footer="0.5"/>
  <pageSetup paperSize="9" scale="66" fitToHeight="3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5a9754-d989-458f-8bd1-64889b46f6fa">
      <Terms xmlns="http://schemas.microsoft.com/office/infopath/2007/PartnerControls"/>
    </lcf76f155ced4ddcb4097134ff3c332f>
    <TaxCatchAll xmlns="0302a5af-5ac8-462a-a23b-b4d1027da4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B941D97F322B428ECE0E94A7E9CB38" ma:contentTypeVersion="19" ma:contentTypeDescription="Create a new document." ma:contentTypeScope="" ma:versionID="e84a7e9a2c55cbc31352195baf4998ae">
  <xsd:schema xmlns:xsd="http://www.w3.org/2001/XMLSchema" xmlns:xs="http://www.w3.org/2001/XMLSchema" xmlns:p="http://schemas.microsoft.com/office/2006/metadata/properties" xmlns:ns2="5d5a9754-d989-458f-8bd1-64889b46f6fa" xmlns:ns3="0302a5af-5ac8-462a-a23b-b4d1027da431" targetNamespace="http://schemas.microsoft.com/office/2006/metadata/properties" ma:root="true" ma:fieldsID="5c749df52c41df1956c23213f11e051e" ns2:_="" ns3:_="">
    <xsd:import namespace="5d5a9754-d989-458f-8bd1-64889b46f6fa"/>
    <xsd:import namespace="0302a5af-5ac8-462a-a23b-b4d1027da4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a9754-d989-458f-8bd1-64889b46f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0e4ba69-e80c-4913-b477-8a96dcaff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2a5af-5ac8-462a-a23b-b4d1027da43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6be234-e780-497d-b4dc-e60f5fc21a6b}" ma:internalName="TaxCatchAll" ma:showField="CatchAllData" ma:web="0302a5af-5ac8-462a-a23b-b4d1027da4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139C5B-F74A-452E-B874-8F1CC2AB63E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DAB4F7D-2416-4BB0-BECE-BFEA2E1B979E}">
  <ds:schemaRefs>
    <ds:schemaRef ds:uri="http://www.w3.org/XML/1998/namespace"/>
    <ds:schemaRef ds:uri="5d5a9754-d989-458f-8bd1-64889b46f6fa"/>
    <ds:schemaRef ds:uri="http://schemas.microsoft.com/office/infopath/2007/PartnerControls"/>
    <ds:schemaRef ds:uri="http://purl.org/dc/dcmitype/"/>
    <ds:schemaRef ds:uri="0302a5af-5ac8-462a-a23b-b4d1027da431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E51CC3B-7161-4FFA-9316-3D2A60C812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968F0D0-B43D-45EF-878F-868D6D7D6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5a9754-d989-458f-8bd1-64889b46f6fa"/>
    <ds:schemaRef ds:uri="0302a5af-5ac8-462a-a23b-b4d1027da4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</vt:i4>
      </vt:variant>
    </vt:vector>
  </HeadingPairs>
  <TitlesOfParts>
    <vt:vector size="22" baseType="lpstr">
      <vt:lpstr>Intro</vt:lpstr>
      <vt:lpstr>US</vt:lpstr>
      <vt:lpstr>EU - country</vt:lpstr>
      <vt:lpstr>EU - variety</vt:lpstr>
      <vt:lpstr>Austria</vt:lpstr>
      <vt:lpstr>Belgium</vt:lpstr>
      <vt:lpstr>Czech Republic</vt:lpstr>
      <vt:lpstr>Denmark</vt:lpstr>
      <vt:lpstr>France</vt:lpstr>
      <vt:lpstr>Germany</vt:lpstr>
      <vt:lpstr>Italy</vt:lpstr>
      <vt:lpstr>Sheet15</vt:lpstr>
      <vt:lpstr>Poland</vt:lpstr>
      <vt:lpstr>Portugal</vt:lpstr>
      <vt:lpstr>Slovakia</vt:lpstr>
      <vt:lpstr>Spain</vt:lpstr>
      <vt:lpstr>Switzerland</vt:lpstr>
      <vt:lpstr>Netherlands</vt:lpstr>
      <vt:lpstr>UK</vt:lpstr>
      <vt:lpstr>Austria!Print_Area</vt:lpstr>
      <vt:lpstr>Denmark!Print_Area</vt:lpstr>
      <vt:lpstr>'EU - country'!Print_Area</vt:lpstr>
    </vt:vector>
  </TitlesOfParts>
  <Company>Freshfell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</dc:creator>
  <cp:lastModifiedBy>Gil Kaufman</cp:lastModifiedBy>
  <cp:lastPrinted>2023-01-03T11:05:43Z</cp:lastPrinted>
  <dcterms:created xsi:type="dcterms:W3CDTF">2006-12-13T13:34:27Z</dcterms:created>
  <dcterms:modified xsi:type="dcterms:W3CDTF">2026-01-05T16:02:43Z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423400.000000000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0x01010052B941D97F322B428ECE0E94A7E9CB38</vt:lpwstr>
  </property>
</Properties>
</file>