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Send/"/>
    </mc:Choice>
  </mc:AlternateContent>
  <xr:revisionPtr revIDLastSave="564" documentId="13_ncr:4000b_{E635AC63-B142-4158-8156-7436CF2CE4C0}" xr6:coauthVersionLast="47" xr6:coauthVersionMax="47" xr10:uidLastSave="{7991F814-3DCC-495F-A531-C301A39E8650}"/>
  <bookViews>
    <workbookView xWindow="28680" yWindow="-120" windowWidth="29040" windowHeight="15720" tabRatio="840" activeTab="1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r:id="rId13"/>
    <sheet name="Switzerland" sheetId="34" r:id="rId14"/>
    <sheet name="Spain" sheetId="33" r:id="rId15"/>
    <sheet name="Netherlands" sheetId="32" r:id="rId16"/>
    <sheet name="UK" sheetId="30" r:id="rId17"/>
  </sheets>
  <definedNames>
    <definedName name="_xlnm.Print_Area" localSheetId="2">'Europe - country'!$A$1:$AA$33</definedName>
    <definedName name="_xlnm.Print_Area" localSheetId="3">'Europe - variety'!$A$1:$U$44</definedName>
    <definedName name="_xlnm.Print_Area" localSheetId="1">US!$A$1:$Y$41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0" l="1"/>
  <c r="F19" i="31"/>
  <c r="E19" i="31"/>
  <c r="E26" i="29" l="1"/>
  <c r="E18" i="34" l="1"/>
  <c r="E42" i="2" l="1"/>
  <c r="E41" i="2"/>
  <c r="E40" i="2"/>
  <c r="E39" i="2"/>
  <c r="E38" i="2"/>
  <c r="E37" i="2"/>
  <c r="E36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7" i="2"/>
  <c r="E6" i="2"/>
  <c r="E5" i="2"/>
  <c r="E4" i="2"/>
  <c r="E3" i="2"/>
  <c r="E2" i="2"/>
  <c r="E24" i="1"/>
  <c r="E22" i="1"/>
  <c r="E21" i="1"/>
  <c r="E10" i="1"/>
  <c r="E32" i="2" l="1"/>
  <c r="E19" i="30"/>
  <c r="E32" i="1" s="1"/>
  <c r="B18" i="30"/>
  <c r="B17" i="30"/>
  <c r="B16" i="30"/>
  <c r="E12" i="30"/>
  <c r="B11" i="30"/>
  <c r="B10" i="30"/>
  <c r="B9" i="30"/>
  <c r="B8" i="30"/>
  <c r="B7" i="30"/>
  <c r="B6" i="30"/>
  <c r="B5" i="30"/>
  <c r="B4" i="30"/>
  <c r="B3" i="30"/>
  <c r="B2" i="30"/>
  <c r="E15" i="32"/>
  <c r="B14" i="32"/>
  <c r="B13" i="32"/>
  <c r="B12" i="32"/>
  <c r="E8" i="32"/>
  <c r="B7" i="32"/>
  <c r="B6" i="32"/>
  <c r="B5" i="32"/>
  <c r="B4" i="32"/>
  <c r="B3" i="32"/>
  <c r="B2" i="32"/>
  <c r="E17" i="33"/>
  <c r="B16" i="33"/>
  <c r="B15" i="33"/>
  <c r="B14" i="33"/>
  <c r="B13" i="33"/>
  <c r="B12" i="33"/>
  <c r="E8" i="33"/>
  <c r="E12" i="1" s="1"/>
  <c r="B7" i="33"/>
  <c r="B6" i="33"/>
  <c r="B5" i="33"/>
  <c r="B4" i="33"/>
  <c r="B3" i="33"/>
  <c r="B2" i="33"/>
  <c r="E28" i="34"/>
  <c r="B28" i="34" s="1"/>
  <c r="B27" i="34"/>
  <c r="B26" i="34"/>
  <c r="B25" i="34"/>
  <c r="B24" i="34"/>
  <c r="B23" i="34"/>
  <c r="E19" i="34"/>
  <c r="B18" i="34"/>
  <c r="B17" i="34"/>
  <c r="B16" i="34"/>
  <c r="B15" i="34"/>
  <c r="B14" i="34"/>
  <c r="B13" i="34"/>
  <c r="B12" i="34"/>
  <c r="B11" i="34"/>
  <c r="B10" i="34"/>
  <c r="B9" i="34"/>
  <c r="B8" i="34"/>
  <c r="B7" i="34"/>
  <c r="B6" i="34"/>
  <c r="B5" i="34"/>
  <c r="B4" i="34"/>
  <c r="B3" i="34"/>
  <c r="B2" i="34"/>
  <c r="B14" i="38"/>
  <c r="B13" i="38"/>
  <c r="B9" i="38"/>
  <c r="B8" i="38"/>
  <c r="B7" i="38"/>
  <c r="B6" i="38"/>
  <c r="B5" i="38"/>
  <c r="B4" i="38"/>
  <c r="B3" i="38"/>
  <c r="B2" i="38"/>
  <c r="E25" i="36"/>
  <c r="E26" i="1" s="1"/>
  <c r="B24" i="36"/>
  <c r="B23" i="36"/>
  <c r="B22" i="36"/>
  <c r="E18" i="36"/>
  <c r="E9" i="1" s="1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2" i="36"/>
  <c r="E29" i="31"/>
  <c r="B28" i="31"/>
  <c r="B27" i="31"/>
  <c r="B26" i="31"/>
  <c r="B25" i="31"/>
  <c r="B24" i="31"/>
  <c r="E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B5" i="31"/>
  <c r="B4" i="31"/>
  <c r="B3" i="31"/>
  <c r="B2" i="31"/>
  <c r="B26" i="29"/>
  <c r="B25" i="29"/>
  <c r="E21" i="29"/>
  <c r="B20" i="29"/>
  <c r="B19" i="29"/>
  <c r="B18" i="29"/>
  <c r="B17" i="29"/>
  <c r="B16" i="29"/>
  <c r="B15" i="29"/>
  <c r="B14" i="29"/>
  <c r="B13" i="29"/>
  <c r="B12" i="29"/>
  <c r="B11" i="29"/>
  <c r="B10" i="29"/>
  <c r="B9" i="29"/>
  <c r="B8" i="29"/>
  <c r="B7" i="29"/>
  <c r="B6" i="29"/>
  <c r="B5" i="29"/>
  <c r="B4" i="29"/>
  <c r="B3" i="29"/>
  <c r="B2" i="29"/>
  <c r="E38" i="35"/>
  <c r="B37" i="35"/>
  <c r="B36" i="35"/>
  <c r="B35" i="35"/>
  <c r="B34" i="35"/>
  <c r="B33" i="35"/>
  <c r="B32" i="35"/>
  <c r="B31" i="35"/>
  <c r="B30" i="35"/>
  <c r="E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B8" i="35"/>
  <c r="B7" i="35"/>
  <c r="B6" i="35"/>
  <c r="B5" i="35"/>
  <c r="B4" i="35"/>
  <c r="B3" i="35"/>
  <c r="B2" i="35"/>
  <c r="B27" i="28"/>
  <c r="B26" i="28"/>
  <c r="B25" i="28"/>
  <c r="B24" i="28"/>
  <c r="E20" i="28"/>
  <c r="E5" i="1" s="1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E21" i="27"/>
  <c r="E43" i="2" s="1"/>
  <c r="B20" i="27"/>
  <c r="B19" i="27"/>
  <c r="B18" i="27"/>
  <c r="B17" i="27"/>
  <c r="B16" i="27"/>
  <c r="E12" i="27"/>
  <c r="B11" i="27"/>
  <c r="B10" i="27"/>
  <c r="B9" i="27"/>
  <c r="B8" i="27"/>
  <c r="B7" i="27"/>
  <c r="B6" i="27"/>
  <c r="B5" i="27"/>
  <c r="B4" i="27"/>
  <c r="B3" i="27"/>
  <c r="B2" i="27"/>
  <c r="E20" i="26"/>
  <c r="B19" i="26"/>
  <c r="B18" i="26"/>
  <c r="B17" i="26"/>
  <c r="B16" i="26"/>
  <c r="B15" i="26"/>
  <c r="E10" i="26"/>
  <c r="B9" i="26"/>
  <c r="B8" i="26"/>
  <c r="B7" i="26"/>
  <c r="B6" i="26"/>
  <c r="B5" i="26"/>
  <c r="B4" i="26"/>
  <c r="B3" i="26"/>
  <c r="B2" i="26"/>
  <c r="E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4" i="25"/>
  <c r="B3" i="25"/>
  <c r="B2" i="25"/>
  <c r="B28" i="1"/>
  <c r="B11" i="1"/>
  <c r="E41" i="9"/>
  <c r="B40" i="9"/>
  <c r="B39" i="9"/>
  <c r="B38" i="9"/>
  <c r="B37" i="9"/>
  <c r="B36" i="9"/>
  <c r="B35" i="9"/>
  <c r="B34" i="9"/>
  <c r="B33" i="9"/>
  <c r="B32" i="9"/>
  <c r="B31" i="9"/>
  <c r="E27" i="9"/>
  <c r="B27" i="9" s="1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B25" i="36" l="1"/>
  <c r="E7" i="1"/>
  <c r="E13" i="1"/>
  <c r="E31" i="1"/>
  <c r="E15" i="1"/>
  <c r="E30" i="1"/>
  <c r="E2" i="1"/>
  <c r="E3" i="1"/>
  <c r="E4" i="1"/>
  <c r="E6" i="1"/>
  <c r="B29" i="31"/>
  <c r="E25" i="1"/>
  <c r="E23" i="1"/>
  <c r="E14" i="1"/>
  <c r="B20" i="28"/>
  <c r="E8" i="1"/>
  <c r="E29" i="1"/>
  <c r="E44" i="2"/>
  <c r="E20" i="1"/>
  <c r="F12" i="27"/>
  <c r="G12" i="27"/>
  <c r="E16" i="1" l="1"/>
  <c r="B12" i="27"/>
  <c r="E33" i="1"/>
  <c r="G19" i="31"/>
  <c r="F38" i="35" l="1"/>
  <c r="B38" i="35" l="1"/>
  <c r="F42" i="2"/>
  <c r="F41" i="2"/>
  <c r="F40" i="2"/>
  <c r="F39" i="2"/>
  <c r="F38" i="2"/>
  <c r="F37" i="2"/>
  <c r="F36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30" i="1"/>
  <c r="F27" i="1"/>
  <c r="F26" i="1"/>
  <c r="F25" i="1"/>
  <c r="F24" i="1"/>
  <c r="F23" i="1"/>
  <c r="F22" i="1"/>
  <c r="F21" i="1"/>
  <c r="F10" i="1"/>
  <c r="F5" i="1"/>
  <c r="F4" i="1"/>
  <c r="B21" i="1" l="1"/>
  <c r="B38" i="2"/>
  <c r="B22" i="1"/>
  <c r="B29" i="2"/>
  <c r="B41" i="2"/>
  <c r="B10" i="1"/>
  <c r="B37" i="2"/>
  <c r="B5" i="2"/>
  <c r="B21" i="2"/>
  <c r="B25" i="1"/>
  <c r="B6" i="2"/>
  <c r="B42" i="2"/>
  <c r="B30" i="1"/>
  <c r="B4" i="1"/>
  <c r="B26" i="1"/>
  <c r="B7" i="2"/>
  <c r="B5" i="1"/>
  <c r="B27" i="1"/>
  <c r="B36" i="2"/>
  <c r="B20" i="2"/>
  <c r="B28" i="2"/>
  <c r="B22" i="2"/>
  <c r="B2" i="2"/>
  <c r="B23" i="1"/>
  <c r="B24" i="2"/>
  <c r="B9" i="2"/>
  <c r="B24" i="1"/>
  <c r="B27" i="2"/>
  <c r="B16" i="2"/>
  <c r="B25" i="2"/>
  <c r="B11" i="2"/>
  <c r="B26" i="2"/>
  <c r="B15" i="2"/>
  <c r="B17" i="2"/>
  <c r="B12" i="2"/>
  <c r="B4" i="2"/>
  <c r="B23" i="2"/>
  <c r="B30" i="2"/>
  <c r="B40" i="2"/>
  <c r="B39" i="2"/>
  <c r="B18" i="2"/>
  <c r="B10" i="2"/>
  <c r="B8" i="2"/>
  <c r="B3" i="2"/>
  <c r="B19" i="2"/>
  <c r="B31" i="2"/>
  <c r="B13" i="2"/>
  <c r="B14" i="2"/>
  <c r="F32" i="2"/>
  <c r="B32" i="2" l="1"/>
  <c r="F19" i="30"/>
  <c r="F12" i="30"/>
  <c r="F15" i="32"/>
  <c r="F8" i="32"/>
  <c r="F19" i="34"/>
  <c r="F17" i="33"/>
  <c r="F8" i="33"/>
  <c r="F18" i="36"/>
  <c r="F20" i="31"/>
  <c r="F21" i="29"/>
  <c r="F26" i="35"/>
  <c r="F21" i="27"/>
  <c r="F20" i="26"/>
  <c r="F10" i="26"/>
  <c r="F21" i="25"/>
  <c r="F41" i="9"/>
  <c r="B21" i="25" l="1"/>
  <c r="B8" i="33"/>
  <c r="B17" i="33"/>
  <c r="B12" i="30"/>
  <c r="B21" i="27"/>
  <c r="B19" i="30"/>
  <c r="B41" i="9"/>
  <c r="B18" i="36"/>
  <c r="B20" i="31"/>
  <c r="B26" i="35"/>
  <c r="B15" i="32"/>
  <c r="B8" i="32"/>
  <c r="B21" i="29"/>
  <c r="B19" i="34"/>
  <c r="B20" i="26"/>
  <c r="B10" i="26"/>
  <c r="F2" i="1"/>
  <c r="F9" i="1"/>
  <c r="F3" i="1"/>
  <c r="F12" i="1"/>
  <c r="F20" i="1"/>
  <c r="F29" i="1"/>
  <c r="F43" i="2"/>
  <c r="F44" i="2" s="1"/>
  <c r="F13" i="1"/>
  <c r="F6" i="1"/>
  <c r="F14" i="1"/>
  <c r="F7" i="1"/>
  <c r="F31" i="1"/>
  <c r="F15" i="1"/>
  <c r="F8" i="1"/>
  <c r="F32" i="1"/>
  <c r="G41" i="9"/>
  <c r="B32" i="1" l="1"/>
  <c r="B15" i="1"/>
  <c r="B12" i="1"/>
  <c r="B29" i="1"/>
  <c r="B9" i="1"/>
  <c r="B2" i="1"/>
  <c r="B8" i="1"/>
  <c r="B6" i="1"/>
  <c r="B31" i="1"/>
  <c r="B14" i="1"/>
  <c r="B7" i="1"/>
  <c r="B13" i="1"/>
  <c r="B20" i="1"/>
  <c r="B43" i="2"/>
  <c r="B44" i="2"/>
  <c r="B3" i="1"/>
  <c r="F16" i="1"/>
  <c r="F33" i="1"/>
  <c r="G18" i="36"/>
  <c r="B33" i="1" l="1"/>
  <c r="B16" i="1"/>
  <c r="G38" i="35"/>
  <c r="G26" i="35"/>
  <c r="G12" i="30" l="1"/>
  <c r="G19" i="30"/>
  <c r="G17" i="33"/>
  <c r="G8" i="33"/>
  <c r="H18" i="34"/>
  <c r="G19" i="34" l="1"/>
  <c r="H19" i="31"/>
  <c r="G20" i="31" l="1"/>
  <c r="G15" i="32"/>
  <c r="G8" i="32"/>
  <c r="G21" i="29"/>
  <c r="G21" i="27" l="1"/>
  <c r="G43" i="2" l="1"/>
  <c r="G42" i="2"/>
  <c r="G41" i="2"/>
  <c r="G40" i="2"/>
  <c r="G39" i="2"/>
  <c r="G38" i="2"/>
  <c r="G37" i="2"/>
  <c r="G36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20" i="26"/>
  <c r="G10" i="26"/>
  <c r="G44" i="2" l="1"/>
  <c r="G32" i="2"/>
  <c r="G32" i="1"/>
  <c r="G31" i="1"/>
  <c r="G30" i="1"/>
  <c r="G29" i="1"/>
  <c r="G27" i="1"/>
  <c r="G26" i="1"/>
  <c r="G25" i="1"/>
  <c r="G24" i="1"/>
  <c r="G23" i="1"/>
  <c r="G22" i="1"/>
  <c r="G21" i="1"/>
  <c r="G20" i="1"/>
  <c r="G15" i="1"/>
  <c r="G14" i="1"/>
  <c r="G13" i="1"/>
  <c r="G12" i="1"/>
  <c r="G10" i="1"/>
  <c r="G9" i="1"/>
  <c r="G8" i="1"/>
  <c r="G7" i="1"/>
  <c r="G6" i="1"/>
  <c r="G5" i="1"/>
  <c r="G4" i="1"/>
  <c r="G3" i="1"/>
  <c r="G21" i="25"/>
  <c r="G2" i="1" l="1"/>
  <c r="G33" i="1"/>
  <c r="H19" i="30"/>
  <c r="I19" i="30"/>
  <c r="I32" i="1" s="1"/>
  <c r="H12" i="30"/>
  <c r="H15" i="32"/>
  <c r="I15" i="32"/>
  <c r="I31" i="1" s="1"/>
  <c r="H8" i="32"/>
  <c r="H14" i="1" s="1"/>
  <c r="I8" i="32"/>
  <c r="I14" i="1" s="1"/>
  <c r="H21" i="29"/>
  <c r="I21" i="29"/>
  <c r="I7" i="1" s="1"/>
  <c r="H19" i="34"/>
  <c r="H17" i="33"/>
  <c r="H8" i="33"/>
  <c r="H12" i="1" s="1"/>
  <c r="H27" i="1"/>
  <c r="H21" i="1"/>
  <c r="H22" i="1"/>
  <c r="H24" i="1"/>
  <c r="H25" i="1"/>
  <c r="H26" i="1"/>
  <c r="H30" i="1"/>
  <c r="H18" i="36"/>
  <c r="H9" i="1" s="1"/>
  <c r="H20" i="31"/>
  <c r="H38" i="35"/>
  <c r="H26" i="35"/>
  <c r="I20" i="28"/>
  <c r="H20" i="28"/>
  <c r="H21" i="27"/>
  <c r="H12" i="27"/>
  <c r="H4" i="1" s="1"/>
  <c r="H42" i="2"/>
  <c r="H41" i="2"/>
  <c r="H40" i="2"/>
  <c r="H39" i="2"/>
  <c r="H38" i="2"/>
  <c r="H37" i="2"/>
  <c r="H36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0" i="26"/>
  <c r="H10" i="26"/>
  <c r="H10" i="1"/>
  <c r="H21" i="25"/>
  <c r="H2" i="1" s="1"/>
  <c r="H41" i="9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18" i="36"/>
  <c r="I9" i="1" s="1"/>
  <c r="I19" i="34"/>
  <c r="I13" i="1" s="1"/>
  <c r="I12" i="30"/>
  <c r="I15" i="1" s="1"/>
  <c r="I19" i="31"/>
  <c r="I38" i="35"/>
  <c r="I23" i="1" s="1"/>
  <c r="I26" i="35"/>
  <c r="I6" i="1" s="1"/>
  <c r="I17" i="33"/>
  <c r="I8" i="33"/>
  <c r="I41" i="9"/>
  <c r="I30" i="1"/>
  <c r="I26" i="1"/>
  <c r="I25" i="1"/>
  <c r="I24" i="1"/>
  <c r="I22" i="1"/>
  <c r="I21" i="1"/>
  <c r="I10" i="1"/>
  <c r="I5" i="1"/>
  <c r="I4" i="1"/>
  <c r="I43" i="2"/>
  <c r="I42" i="2"/>
  <c r="I41" i="2"/>
  <c r="I40" i="2"/>
  <c r="I39" i="2"/>
  <c r="I38" i="2"/>
  <c r="I37" i="2"/>
  <c r="I36" i="2"/>
  <c r="I20" i="26"/>
  <c r="I10" i="26"/>
  <c r="I21" i="25"/>
  <c r="J20" i="31"/>
  <c r="J8" i="1" s="1"/>
  <c r="J20" i="26"/>
  <c r="J20" i="1" s="1"/>
  <c r="J10" i="26"/>
  <c r="J3" i="1" s="1"/>
  <c r="J12" i="27"/>
  <c r="J4" i="1" s="1"/>
  <c r="J27" i="28"/>
  <c r="J40" i="2" s="1"/>
  <c r="J20" i="28"/>
  <c r="J5" i="1" s="1"/>
  <c r="J21" i="29"/>
  <c r="J18" i="36"/>
  <c r="J9" i="1" s="1"/>
  <c r="J17" i="33"/>
  <c r="J29" i="1" s="1"/>
  <c r="J19" i="34"/>
  <c r="J13" i="1" s="1"/>
  <c r="J15" i="32"/>
  <c r="J31" i="1" s="1"/>
  <c r="J8" i="32"/>
  <c r="J14" i="1" s="1"/>
  <c r="J38" i="35"/>
  <c r="J23" i="1" s="1"/>
  <c r="J43" i="2"/>
  <c r="J42" i="2"/>
  <c r="J41" i="2"/>
  <c r="J39" i="2"/>
  <c r="J38" i="2"/>
  <c r="J37" i="2"/>
  <c r="J36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32" i="1"/>
  <c r="J30" i="1"/>
  <c r="J26" i="1"/>
  <c r="J25" i="1"/>
  <c r="J24" i="1"/>
  <c r="J22" i="1"/>
  <c r="J21" i="1"/>
  <c r="J10" i="1"/>
  <c r="J41" i="9"/>
  <c r="J26" i="35"/>
  <c r="J6" i="1" s="1"/>
  <c r="J8" i="33"/>
  <c r="J12" i="30"/>
  <c r="J15" i="1" s="1"/>
  <c r="J21" i="25"/>
  <c r="K30" i="2"/>
  <c r="L30" i="2"/>
  <c r="M30" i="2"/>
  <c r="N30" i="2"/>
  <c r="O30" i="2"/>
  <c r="P30" i="2"/>
  <c r="K21" i="25"/>
  <c r="K2" i="1" s="1"/>
  <c r="K41" i="9"/>
  <c r="K18" i="34"/>
  <c r="K19" i="34" s="1"/>
  <c r="K13" i="1" s="1"/>
  <c r="K38" i="35"/>
  <c r="K26" i="35"/>
  <c r="K6" i="1" s="1"/>
  <c r="K23" i="2"/>
  <c r="K20" i="31"/>
  <c r="K8" i="1" s="1"/>
  <c r="K21" i="29"/>
  <c r="K7" i="1" s="1"/>
  <c r="K18" i="36"/>
  <c r="K9" i="1" s="1"/>
  <c r="K29" i="2"/>
  <c r="K10" i="26"/>
  <c r="K19" i="2"/>
  <c r="K18" i="2"/>
  <c r="K20" i="26"/>
  <c r="K20" i="1" s="1"/>
  <c r="K27" i="28"/>
  <c r="K40" i="2" s="1"/>
  <c r="K20" i="28"/>
  <c r="K5" i="1" s="1"/>
  <c r="K12" i="30"/>
  <c r="K15" i="1" s="1"/>
  <c r="K17" i="33"/>
  <c r="K8" i="33"/>
  <c r="K4" i="2"/>
  <c r="K12" i="27"/>
  <c r="K4" i="1" s="1"/>
  <c r="K25" i="2"/>
  <c r="K42" i="2"/>
  <c r="K41" i="2"/>
  <c r="K38" i="2"/>
  <c r="K37" i="2"/>
  <c r="K36" i="2"/>
  <c r="K28" i="2"/>
  <c r="K27" i="2"/>
  <c r="K26" i="2"/>
  <c r="K24" i="2"/>
  <c r="K22" i="2"/>
  <c r="K21" i="2"/>
  <c r="K20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3" i="2"/>
  <c r="K2" i="2"/>
  <c r="K30" i="1"/>
  <c r="K26" i="1"/>
  <c r="K25" i="1"/>
  <c r="K24" i="1"/>
  <c r="K22" i="1"/>
  <c r="K21" i="1"/>
  <c r="K10" i="1"/>
  <c r="K15" i="32"/>
  <c r="K31" i="1" s="1"/>
  <c r="K8" i="32"/>
  <c r="U31" i="2"/>
  <c r="T31" i="2"/>
  <c r="L41" i="9"/>
  <c r="L18" i="36"/>
  <c r="L9" i="1" s="1"/>
  <c r="L17" i="33"/>
  <c r="L29" i="1" s="1"/>
  <c r="L8" i="33"/>
  <c r="L12" i="1" s="1"/>
  <c r="L19" i="30"/>
  <c r="L32" i="1" s="1"/>
  <c r="L12" i="30"/>
  <c r="L15" i="1" s="1"/>
  <c r="L21" i="29"/>
  <c r="L7" i="1" s="1"/>
  <c r="L24" i="1"/>
  <c r="L31" i="1"/>
  <c r="L30" i="1"/>
  <c r="L26" i="1"/>
  <c r="L25" i="1"/>
  <c r="L22" i="1"/>
  <c r="L21" i="1"/>
  <c r="L20" i="1"/>
  <c r="L5" i="1"/>
  <c r="L14" i="1"/>
  <c r="L10" i="1"/>
  <c r="L4" i="1"/>
  <c r="L3" i="1"/>
  <c r="L43" i="2"/>
  <c r="L39" i="2"/>
  <c r="L40" i="2"/>
  <c r="L38" i="2"/>
  <c r="L37" i="2"/>
  <c r="L42" i="2"/>
  <c r="L41" i="2"/>
  <c r="L36" i="2"/>
  <c r="L10" i="2"/>
  <c r="L18" i="2"/>
  <c r="L19" i="2"/>
  <c r="L23" i="2"/>
  <c r="L25" i="2"/>
  <c r="L5" i="2"/>
  <c r="L4" i="2"/>
  <c r="L6" i="2"/>
  <c r="L8" i="2"/>
  <c r="L12" i="2"/>
  <c r="L29" i="2"/>
  <c r="L31" i="2"/>
  <c r="L14" i="2"/>
  <c r="L24" i="2"/>
  <c r="L15" i="2"/>
  <c r="L11" i="2"/>
  <c r="L28" i="2"/>
  <c r="L27" i="2"/>
  <c r="L26" i="2"/>
  <c r="L22" i="2"/>
  <c r="L21" i="2"/>
  <c r="L20" i="2"/>
  <c r="L17" i="2"/>
  <c r="L16" i="2"/>
  <c r="L13" i="2"/>
  <c r="L9" i="2"/>
  <c r="L7" i="2"/>
  <c r="L3" i="2"/>
  <c r="L2" i="2"/>
  <c r="L19" i="34"/>
  <c r="L13" i="1" s="1"/>
  <c r="L21" i="25"/>
  <c r="L2" i="1" s="1"/>
  <c r="L20" i="31"/>
  <c r="L8" i="1" s="1"/>
  <c r="M38" i="35"/>
  <c r="M23" i="1" s="1"/>
  <c r="L38" i="35"/>
  <c r="L23" i="1" s="1"/>
  <c r="M26" i="35"/>
  <c r="M6" i="1" s="1"/>
  <c r="L26" i="35"/>
  <c r="L6" i="1" s="1"/>
  <c r="M39" i="2"/>
  <c r="M40" i="2"/>
  <c r="M41" i="2"/>
  <c r="M42" i="2"/>
  <c r="M43" i="2"/>
  <c r="M36" i="2"/>
  <c r="M37" i="2"/>
  <c r="M38" i="2"/>
  <c r="M3" i="2"/>
  <c r="M4" i="2"/>
  <c r="M10" i="2"/>
  <c r="M11" i="2"/>
  <c r="M12" i="2"/>
  <c r="M13" i="2"/>
  <c r="M14" i="2"/>
  <c r="M15" i="2"/>
  <c r="M16" i="2"/>
  <c r="M17" i="2"/>
  <c r="M18" i="2"/>
  <c r="M19" i="2"/>
  <c r="M23" i="2"/>
  <c r="M31" i="2"/>
  <c r="M8" i="2"/>
  <c r="M9" i="2"/>
  <c r="M24" i="2"/>
  <c r="M25" i="2"/>
  <c r="M26" i="2"/>
  <c r="M27" i="2"/>
  <c r="M28" i="2"/>
  <c r="M29" i="2"/>
  <c r="M5" i="2"/>
  <c r="M6" i="2"/>
  <c r="M7" i="2"/>
  <c r="M2" i="2"/>
  <c r="M20" i="2"/>
  <c r="M21" i="2"/>
  <c r="M22" i="2"/>
  <c r="M21" i="1"/>
  <c r="M22" i="1"/>
  <c r="M24" i="1"/>
  <c r="M25" i="1"/>
  <c r="M26" i="1"/>
  <c r="M29" i="1"/>
  <c r="M30" i="1"/>
  <c r="M31" i="1"/>
  <c r="M32" i="1"/>
  <c r="M2" i="1"/>
  <c r="M4" i="1"/>
  <c r="M5" i="1"/>
  <c r="M7" i="1"/>
  <c r="M10" i="1"/>
  <c r="M14" i="1"/>
  <c r="M15" i="1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20" i="28"/>
  <c r="N31" i="2" s="1"/>
  <c r="M20" i="31"/>
  <c r="M8" i="1" s="1"/>
  <c r="M41" i="9"/>
  <c r="M20" i="26"/>
  <c r="M20" i="1" s="1"/>
  <c r="N20" i="26"/>
  <c r="N20" i="1" s="1"/>
  <c r="N21" i="1"/>
  <c r="N22" i="1"/>
  <c r="N38" i="35"/>
  <c r="N23" i="1" s="1"/>
  <c r="N24" i="1"/>
  <c r="N25" i="1"/>
  <c r="N25" i="36"/>
  <c r="N26" i="1" s="1"/>
  <c r="N17" i="33"/>
  <c r="N29" i="1" s="1"/>
  <c r="N30" i="1"/>
  <c r="N31" i="1"/>
  <c r="N19" i="30"/>
  <c r="N32" i="1" s="1"/>
  <c r="M19" i="34"/>
  <c r="M13" i="1" s="1"/>
  <c r="M8" i="33"/>
  <c r="M12" i="1" s="1"/>
  <c r="M18" i="36"/>
  <c r="M9" i="1" s="1"/>
  <c r="M10" i="26"/>
  <c r="N10" i="1"/>
  <c r="N19" i="34"/>
  <c r="N13" i="1" s="1"/>
  <c r="N20" i="31"/>
  <c r="N8" i="1" s="1"/>
  <c r="N21" i="25"/>
  <c r="N2" i="1" s="1"/>
  <c r="N41" i="9"/>
  <c r="N39" i="2"/>
  <c r="N40" i="2"/>
  <c r="N43" i="2"/>
  <c r="N42" i="2"/>
  <c r="N41" i="2"/>
  <c r="N38" i="2"/>
  <c r="N37" i="2"/>
  <c r="N36" i="2"/>
  <c r="S23" i="2"/>
  <c r="R23" i="2"/>
  <c r="Q23" i="2"/>
  <c r="P23" i="2"/>
  <c r="O23" i="2"/>
  <c r="V20" i="28"/>
  <c r="V5" i="1" s="1"/>
  <c r="U20" i="28"/>
  <c r="U5" i="1" s="1"/>
  <c r="S5" i="1"/>
  <c r="R5" i="1"/>
  <c r="Q5" i="1"/>
  <c r="P5" i="1"/>
  <c r="O5" i="1"/>
  <c r="S23" i="1"/>
  <c r="Q38" i="35"/>
  <c r="Q23" i="1" s="1"/>
  <c r="P38" i="35"/>
  <c r="P23" i="1" s="1"/>
  <c r="N14" i="1"/>
  <c r="N4" i="1"/>
  <c r="N10" i="26"/>
  <c r="N3" i="1" s="1"/>
  <c r="N8" i="33"/>
  <c r="N12" i="1" s="1"/>
  <c r="N21" i="29"/>
  <c r="N7" i="1" s="1"/>
  <c r="N18" i="36"/>
  <c r="N9" i="1" s="1"/>
  <c r="R38" i="35"/>
  <c r="R23" i="1" s="1"/>
  <c r="R20" i="26"/>
  <c r="R20" i="1" s="1"/>
  <c r="R21" i="1"/>
  <c r="R22" i="1"/>
  <c r="R26" i="29"/>
  <c r="R24" i="1" s="1"/>
  <c r="R25" i="1"/>
  <c r="R26" i="1"/>
  <c r="R17" i="33"/>
  <c r="R29" i="1" s="1"/>
  <c r="R28" i="34"/>
  <c r="R30" i="1" s="1"/>
  <c r="R15" i="32"/>
  <c r="R31" i="1" s="1"/>
  <c r="R19" i="30"/>
  <c r="R32" i="1" s="1"/>
  <c r="O38" i="35"/>
  <c r="O23" i="1" s="1"/>
  <c r="N26" i="35"/>
  <c r="N6" i="1" s="1"/>
  <c r="N12" i="30"/>
  <c r="N15" i="1" s="1"/>
  <c r="O39" i="2"/>
  <c r="O40" i="2"/>
  <c r="O41" i="2"/>
  <c r="O42" i="2"/>
  <c r="O43" i="2"/>
  <c r="O36" i="2"/>
  <c r="O37" i="2"/>
  <c r="O38" i="2"/>
  <c r="O3" i="2"/>
  <c r="O4" i="2"/>
  <c r="O10" i="2"/>
  <c r="O11" i="2"/>
  <c r="O12" i="2"/>
  <c r="O13" i="2"/>
  <c r="O14" i="2"/>
  <c r="O15" i="2"/>
  <c r="O16" i="2"/>
  <c r="O17" i="2"/>
  <c r="O18" i="2"/>
  <c r="O19" i="2"/>
  <c r="O31" i="2"/>
  <c r="O8" i="2"/>
  <c r="O9" i="2"/>
  <c r="O24" i="2"/>
  <c r="O25" i="2"/>
  <c r="O26" i="2"/>
  <c r="O27" i="2"/>
  <c r="O28" i="2"/>
  <c r="O29" i="2"/>
  <c r="O5" i="2"/>
  <c r="O6" i="2"/>
  <c r="O7" i="2"/>
  <c r="O2" i="2"/>
  <c r="O20" i="2"/>
  <c r="O21" i="2"/>
  <c r="O22" i="2"/>
  <c r="O20" i="1"/>
  <c r="O21" i="1"/>
  <c r="O22" i="1"/>
  <c r="O26" i="29"/>
  <c r="O24" i="1" s="1"/>
  <c r="O25" i="1"/>
  <c r="O26" i="1"/>
  <c r="O17" i="33"/>
  <c r="O29" i="1" s="1"/>
  <c r="O30" i="1"/>
  <c r="O31" i="1"/>
  <c r="O19" i="30"/>
  <c r="O32" i="1" s="1"/>
  <c r="O21" i="25"/>
  <c r="O2" i="1" s="1"/>
  <c r="O3" i="1"/>
  <c r="O4" i="1"/>
  <c r="O26" i="35"/>
  <c r="O6" i="1" s="1"/>
  <c r="O21" i="29"/>
  <c r="O7" i="1" s="1"/>
  <c r="O20" i="31"/>
  <c r="O8" i="1" s="1"/>
  <c r="O18" i="36"/>
  <c r="O9" i="1" s="1"/>
  <c r="O8" i="33"/>
  <c r="O12" i="1" s="1"/>
  <c r="O19" i="34"/>
  <c r="O13" i="1" s="1"/>
  <c r="O14" i="1"/>
  <c r="O12" i="30"/>
  <c r="O15" i="1" s="1"/>
  <c r="P15" i="32"/>
  <c r="P31" i="1" s="1"/>
  <c r="Q15" i="32"/>
  <c r="Q31" i="1" s="1"/>
  <c r="P8" i="32"/>
  <c r="Q8" i="32"/>
  <c r="Q14" i="1" s="1"/>
  <c r="R8" i="32"/>
  <c r="R14" i="1" s="1"/>
  <c r="O41" i="9"/>
  <c r="P21" i="1"/>
  <c r="P22" i="1"/>
  <c r="P25" i="1"/>
  <c r="P26" i="1"/>
  <c r="P30" i="1"/>
  <c r="P26" i="35"/>
  <c r="P6" i="1" s="1"/>
  <c r="P14" i="1"/>
  <c r="P10" i="26"/>
  <c r="P3" i="1" s="1"/>
  <c r="P4" i="1"/>
  <c r="P12" i="30"/>
  <c r="P15" i="1" s="1"/>
  <c r="P40" i="2"/>
  <c r="P29" i="2"/>
  <c r="P28" i="2"/>
  <c r="P26" i="2"/>
  <c r="P25" i="2"/>
  <c r="P24" i="2"/>
  <c r="P22" i="2"/>
  <c r="P20" i="2"/>
  <c r="P18" i="2"/>
  <c r="P16" i="2"/>
  <c r="P14" i="2"/>
  <c r="P12" i="2"/>
  <c r="P10" i="2"/>
  <c r="P6" i="2"/>
  <c r="P4" i="2"/>
  <c r="P41" i="9"/>
  <c r="P43" i="2"/>
  <c r="P42" i="2"/>
  <c r="P41" i="2"/>
  <c r="P39" i="2"/>
  <c r="P36" i="2"/>
  <c r="P37" i="2"/>
  <c r="P38" i="2"/>
  <c r="P31" i="2"/>
  <c r="P3" i="2"/>
  <c r="P9" i="2"/>
  <c r="P11" i="2"/>
  <c r="P15" i="2"/>
  <c r="P17" i="2"/>
  <c r="P2" i="2"/>
  <c r="P5" i="2"/>
  <c r="P7" i="2"/>
  <c r="P8" i="2"/>
  <c r="P13" i="2"/>
  <c r="P19" i="2"/>
  <c r="P21" i="2"/>
  <c r="P27" i="2"/>
  <c r="W24" i="1"/>
  <c r="W22" i="1"/>
  <c r="W21" i="1"/>
  <c r="V22" i="1"/>
  <c r="V21" i="1"/>
  <c r="U22" i="1"/>
  <c r="U20" i="26"/>
  <c r="U20" i="1" s="1"/>
  <c r="U21" i="1"/>
  <c r="U26" i="29"/>
  <c r="U24" i="1" s="1"/>
  <c r="U29" i="31"/>
  <c r="U25" i="1" s="1"/>
  <c r="U25" i="36"/>
  <c r="U26" i="1" s="1"/>
  <c r="U17" i="33"/>
  <c r="U29" i="1" s="1"/>
  <c r="U28" i="34"/>
  <c r="U30" i="1" s="1"/>
  <c r="U15" i="32"/>
  <c r="U31" i="1" s="1"/>
  <c r="U19" i="30"/>
  <c r="U32" i="1" s="1"/>
  <c r="T22" i="1"/>
  <c r="T21" i="1"/>
  <c r="S31" i="1"/>
  <c r="S30" i="1"/>
  <c r="S26" i="1"/>
  <c r="S25" i="1"/>
  <c r="S24" i="1"/>
  <c r="S22" i="1"/>
  <c r="S21" i="1"/>
  <c r="Q30" i="1"/>
  <c r="Q26" i="1"/>
  <c r="Q25" i="1"/>
  <c r="Q24" i="1"/>
  <c r="Q22" i="1"/>
  <c r="Q21" i="1"/>
  <c r="S14" i="1"/>
  <c r="S9" i="1"/>
  <c r="S4" i="1"/>
  <c r="R4" i="1"/>
  <c r="Q4" i="1"/>
  <c r="P18" i="36"/>
  <c r="P9" i="1" s="1"/>
  <c r="P20" i="31"/>
  <c r="P8" i="1" s="1"/>
  <c r="P26" i="29"/>
  <c r="P24" i="1" s="1"/>
  <c r="P21" i="29"/>
  <c r="P7" i="1" s="1"/>
  <c r="R41" i="9"/>
  <c r="S41" i="9"/>
  <c r="T41" i="9"/>
  <c r="U41" i="9"/>
  <c r="V41" i="9"/>
  <c r="W41" i="9"/>
  <c r="Q41" i="9"/>
  <c r="P20" i="26"/>
  <c r="P20" i="1" s="1"/>
  <c r="P21" i="25"/>
  <c r="P2" i="1" s="1"/>
  <c r="P8" i="33"/>
  <c r="P12" i="1" s="1"/>
  <c r="P19" i="34"/>
  <c r="P13" i="1" s="1"/>
  <c r="P17" i="33"/>
  <c r="P29" i="1" s="1"/>
  <c r="P19" i="30"/>
  <c r="P32" i="1" s="1"/>
  <c r="Q26" i="35"/>
  <c r="Q6" i="1" s="1"/>
  <c r="Q43" i="2"/>
  <c r="Q42" i="2"/>
  <c r="Q41" i="2"/>
  <c r="Q40" i="2"/>
  <c r="Q39" i="2"/>
  <c r="Q38" i="2"/>
  <c r="Q37" i="2"/>
  <c r="Q36" i="2"/>
  <c r="Q31" i="2"/>
  <c r="Q30" i="2"/>
  <c r="Q29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Q19" i="34"/>
  <c r="Q13" i="1" s="1"/>
  <c r="Q21" i="25"/>
  <c r="Q2" i="1" s="1"/>
  <c r="Q18" i="36"/>
  <c r="Q9" i="1" s="1"/>
  <c r="Q19" i="30"/>
  <c r="Q32" i="1" s="1"/>
  <c r="Q12" i="30"/>
  <c r="Q15" i="1" s="1"/>
  <c r="Q17" i="33"/>
  <c r="Q29" i="1" s="1"/>
  <c r="Q8" i="33"/>
  <c r="Q12" i="1" s="1"/>
  <c r="Q20" i="26"/>
  <c r="Q20" i="1" s="1"/>
  <c r="Q10" i="26"/>
  <c r="Q3" i="1" s="1"/>
  <c r="Q21" i="29"/>
  <c r="Q7" i="1" s="1"/>
  <c r="Q20" i="31"/>
  <c r="Q8" i="1"/>
  <c r="R20" i="31"/>
  <c r="R8" i="1" s="1"/>
  <c r="S43" i="2"/>
  <c r="S42" i="2"/>
  <c r="S41" i="2"/>
  <c r="S40" i="2"/>
  <c r="S39" i="2"/>
  <c r="S38" i="2"/>
  <c r="S37" i="2"/>
  <c r="S36" i="2"/>
  <c r="S31" i="2"/>
  <c r="S30" i="2"/>
  <c r="S29" i="2"/>
  <c r="S28" i="2"/>
  <c r="S27" i="2"/>
  <c r="S26" i="2"/>
  <c r="S25" i="2"/>
  <c r="S24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R43" i="2"/>
  <c r="R42" i="2"/>
  <c r="R41" i="2"/>
  <c r="R40" i="2"/>
  <c r="R39" i="2"/>
  <c r="R38" i="2"/>
  <c r="R37" i="2"/>
  <c r="R36" i="2"/>
  <c r="R31" i="2"/>
  <c r="R30" i="2"/>
  <c r="R29" i="2"/>
  <c r="R28" i="2"/>
  <c r="R27" i="2"/>
  <c r="R26" i="2"/>
  <c r="R25" i="2"/>
  <c r="R24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R19" i="34"/>
  <c r="R13" i="1" s="1"/>
  <c r="R18" i="36"/>
  <c r="R9" i="1" s="1"/>
  <c r="R8" i="33"/>
  <c r="R12" i="1" s="1"/>
  <c r="R21" i="29"/>
  <c r="R7" i="1" s="1"/>
  <c r="R26" i="35"/>
  <c r="R6" i="1" s="1"/>
  <c r="R12" i="30"/>
  <c r="R15" i="1" s="1"/>
  <c r="R21" i="25"/>
  <c r="R2" i="1" s="1"/>
  <c r="R10" i="26"/>
  <c r="R3" i="1" s="1"/>
  <c r="S26" i="35"/>
  <c r="S6" i="1" s="1"/>
  <c r="S21" i="25"/>
  <c r="S2" i="1" s="1"/>
  <c r="S10" i="26"/>
  <c r="S3" i="1" s="1"/>
  <c r="S21" i="29"/>
  <c r="S7" i="1" s="1"/>
  <c r="S20" i="31"/>
  <c r="S8" i="1" s="1"/>
  <c r="S8" i="33"/>
  <c r="S12" i="1" s="1"/>
  <c r="S19" i="34"/>
  <c r="S13" i="1" s="1"/>
  <c r="S12" i="30"/>
  <c r="S15" i="1" s="1"/>
  <c r="T42" i="2"/>
  <c r="T41" i="2"/>
  <c r="T40" i="2"/>
  <c r="T39" i="2"/>
  <c r="T38" i="2"/>
  <c r="T37" i="2"/>
  <c r="T36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S19" i="30"/>
  <c r="S32" i="1" s="1"/>
  <c r="S17" i="33"/>
  <c r="S29" i="1" s="1"/>
  <c r="U43" i="2"/>
  <c r="U40" i="2"/>
  <c r="U39" i="2"/>
  <c r="U30" i="2"/>
  <c r="U26" i="2"/>
  <c r="U24" i="2"/>
  <c r="U18" i="2"/>
  <c r="U17" i="2"/>
  <c r="U15" i="2"/>
  <c r="U14" i="2"/>
  <c r="U12" i="2"/>
  <c r="U11" i="2"/>
  <c r="U10" i="2"/>
  <c r="U6" i="2"/>
  <c r="U4" i="2"/>
  <c r="U3" i="2"/>
  <c r="S20" i="26"/>
  <c r="S20" i="1" s="1"/>
  <c r="U19" i="34"/>
  <c r="U13" i="1" s="1"/>
  <c r="V19" i="34"/>
  <c r="V13" i="1" s="1"/>
  <c r="W19" i="34"/>
  <c r="W13" i="1" s="1"/>
  <c r="W20" i="31"/>
  <c r="W8" i="1" s="1"/>
  <c r="T8" i="33"/>
  <c r="T12" i="1" s="1"/>
  <c r="U12" i="30"/>
  <c r="U15" i="1" s="1"/>
  <c r="U2" i="2"/>
  <c r="U5" i="2"/>
  <c r="U7" i="2"/>
  <c r="U8" i="2"/>
  <c r="U13" i="2"/>
  <c r="U16" i="2"/>
  <c r="U19" i="2"/>
  <c r="U20" i="2"/>
  <c r="U21" i="2"/>
  <c r="U22" i="2"/>
  <c r="U23" i="2"/>
  <c r="U25" i="2"/>
  <c r="U27" i="2"/>
  <c r="U28" i="2"/>
  <c r="U29" i="2"/>
  <c r="T27" i="9"/>
  <c r="T38" i="35"/>
  <c r="T43" i="2" s="1"/>
  <c r="T26" i="35"/>
  <c r="T6" i="1" s="1"/>
  <c r="T10" i="26"/>
  <c r="T3" i="1" s="1"/>
  <c r="T20" i="26"/>
  <c r="T20" i="1" s="1"/>
  <c r="T17" i="33"/>
  <c r="T29" i="1" s="1"/>
  <c r="T28" i="34"/>
  <c r="T30" i="1" s="1"/>
  <c r="T21" i="25"/>
  <c r="T2" i="1" s="1"/>
  <c r="T19" i="30"/>
  <c r="T32" i="1" s="1"/>
  <c r="T12" i="30"/>
  <c r="T15" i="1" s="1"/>
  <c r="T20" i="28"/>
  <c r="T5" i="1" s="1"/>
  <c r="T21" i="29"/>
  <c r="T7" i="1" s="1"/>
  <c r="T26" i="29"/>
  <c r="T24" i="1" s="1"/>
  <c r="W21" i="27"/>
  <c r="V21" i="27"/>
  <c r="U21" i="27"/>
  <c r="T21" i="27"/>
  <c r="T12" i="27"/>
  <c r="T4" i="1" s="1"/>
  <c r="T20" i="31"/>
  <c r="T8" i="1" s="1"/>
  <c r="T25" i="36"/>
  <c r="T26" i="1" s="1"/>
  <c r="T18" i="36"/>
  <c r="T9" i="1" s="1"/>
  <c r="T15" i="32"/>
  <c r="T31" i="1"/>
  <c r="T8" i="32"/>
  <c r="T14" i="1" s="1"/>
  <c r="T29" i="31"/>
  <c r="T25" i="1" s="1"/>
  <c r="U41" i="2"/>
  <c r="U38" i="2"/>
  <c r="U37" i="2"/>
  <c r="U36" i="2"/>
  <c r="W25" i="36"/>
  <c r="W26" i="1" s="1"/>
  <c r="V25" i="36"/>
  <c r="V26" i="1" s="1"/>
  <c r="W18" i="36"/>
  <c r="W9" i="1" s="1"/>
  <c r="V18" i="36"/>
  <c r="V9" i="1" s="1"/>
  <c r="U18" i="36"/>
  <c r="U9" i="1" s="1"/>
  <c r="W28" i="34"/>
  <c r="W30" i="1" s="1"/>
  <c r="V28" i="34"/>
  <c r="V30" i="1" s="1"/>
  <c r="W17" i="33"/>
  <c r="W29" i="1"/>
  <c r="V17" i="33"/>
  <c r="V29" i="1" s="1"/>
  <c r="W8" i="33"/>
  <c r="W12" i="1" s="1"/>
  <c r="V8" i="33"/>
  <c r="V12" i="1" s="1"/>
  <c r="U8" i="33"/>
  <c r="U12" i="1" s="1"/>
  <c r="W15" i="32"/>
  <c r="W31" i="1" s="1"/>
  <c r="V15" i="32"/>
  <c r="V31" i="1" s="1"/>
  <c r="W8" i="32"/>
  <c r="W14" i="1" s="1"/>
  <c r="V8" i="32"/>
  <c r="V14" i="1" s="1"/>
  <c r="U8" i="32"/>
  <c r="U14" i="1" s="1"/>
  <c r="W29" i="31"/>
  <c r="W25" i="1" s="1"/>
  <c r="V29" i="31"/>
  <c r="V25" i="1" s="1"/>
  <c r="V19" i="30"/>
  <c r="V32" i="1" s="1"/>
  <c r="V20" i="31"/>
  <c r="V8" i="1" s="1"/>
  <c r="U20" i="31"/>
  <c r="U8" i="1" s="1"/>
  <c r="W20" i="26"/>
  <c r="W20" i="1" s="1"/>
  <c r="V20" i="26"/>
  <c r="V20" i="1" s="1"/>
  <c r="W21" i="29"/>
  <c r="W7" i="1" s="1"/>
  <c r="V21" i="29"/>
  <c r="V7" i="1" s="1"/>
  <c r="W12" i="30"/>
  <c r="W15" i="1" s="1"/>
  <c r="V12" i="30"/>
  <c r="V15" i="1" s="1"/>
  <c r="V26" i="29"/>
  <c r="V24" i="1" s="1"/>
  <c r="W27" i="28"/>
  <c r="V27" i="28"/>
  <c r="W20" i="28"/>
  <c r="W5" i="1" s="1"/>
  <c r="W12" i="27"/>
  <c r="W4" i="1" s="1"/>
  <c r="V12" i="27"/>
  <c r="V4" i="1" s="1"/>
  <c r="U12" i="27"/>
  <c r="U4" i="1" s="1"/>
  <c r="W10" i="26"/>
  <c r="W3" i="1" s="1"/>
  <c r="V10" i="26"/>
  <c r="V3" i="1" s="1"/>
  <c r="U10" i="26"/>
  <c r="U3" i="1" s="1"/>
  <c r="W21" i="25"/>
  <c r="W2" i="1" s="1"/>
  <c r="V21" i="25"/>
  <c r="V2" i="1" s="1"/>
  <c r="U21" i="25"/>
  <c r="U2" i="1"/>
  <c r="U21" i="29"/>
  <c r="U7" i="1" s="1"/>
  <c r="U27" i="9"/>
  <c r="V27" i="9"/>
  <c r="W27" i="9"/>
  <c r="W19" i="30"/>
  <c r="W32" i="1" s="1"/>
  <c r="T19" i="34"/>
  <c r="T13" i="1" s="1"/>
  <c r="U27" i="28"/>
  <c r="M3" i="1"/>
  <c r="K3" i="1"/>
  <c r="K29" i="1"/>
  <c r="K39" i="2"/>
  <c r="K43" i="2"/>
  <c r="K32" i="1"/>
  <c r="K23" i="1"/>
  <c r="K12" i="1"/>
  <c r="K14" i="1"/>
  <c r="K31" i="2"/>
  <c r="J12" i="1"/>
  <c r="I31" i="2"/>
  <c r="J7" i="1"/>
  <c r="J2" i="1"/>
  <c r="I12" i="1"/>
  <c r="N33" i="1" l="1"/>
  <c r="P33" i="1"/>
  <c r="I32" i="2"/>
  <c r="L44" i="2"/>
  <c r="J44" i="2"/>
  <c r="J32" i="2"/>
  <c r="Q32" i="2"/>
  <c r="O16" i="1"/>
  <c r="K32" i="2"/>
  <c r="V16" i="1"/>
  <c r="U44" i="2"/>
  <c r="R32" i="2"/>
  <c r="P44" i="2"/>
  <c r="P32" i="2"/>
  <c r="J33" i="1"/>
  <c r="K33" i="1"/>
  <c r="K16" i="1"/>
  <c r="T32" i="2"/>
  <c r="N32" i="2"/>
  <c r="L33" i="1"/>
  <c r="S16" i="1"/>
  <c r="R16" i="1"/>
  <c r="M32" i="2"/>
  <c r="H43" i="2"/>
  <c r="H44" i="2" s="1"/>
  <c r="H29" i="1"/>
  <c r="O32" i="2"/>
  <c r="N44" i="2"/>
  <c r="H5" i="1"/>
  <c r="K44" i="2"/>
  <c r="J16" i="1"/>
  <c r="R44" i="2"/>
  <c r="O44" i="2"/>
  <c r="H3" i="1"/>
  <c r="H32" i="1"/>
  <c r="I44" i="2"/>
  <c r="H23" i="1"/>
  <c r="G16" i="1"/>
  <c r="H6" i="1"/>
  <c r="H31" i="1"/>
  <c r="H32" i="2"/>
  <c r="H7" i="1"/>
  <c r="L16" i="1"/>
  <c r="U16" i="1"/>
  <c r="V33" i="1"/>
  <c r="S33" i="1"/>
  <c r="T16" i="1"/>
  <c r="P16" i="1"/>
  <c r="W16" i="1"/>
  <c r="U33" i="1"/>
  <c r="L32" i="2"/>
  <c r="I29" i="1"/>
  <c r="T33" i="1"/>
  <c r="W33" i="1"/>
  <c r="U32" i="2"/>
  <c r="Q16" i="1"/>
  <c r="O33" i="1"/>
  <c r="R33" i="1"/>
  <c r="M33" i="1"/>
  <c r="I3" i="1"/>
  <c r="I20" i="31"/>
  <c r="S44" i="2"/>
  <c r="M16" i="1"/>
  <c r="T44" i="2"/>
  <c r="S32" i="2"/>
  <c r="M44" i="2"/>
  <c r="Q33" i="1"/>
  <c r="Q44" i="2"/>
  <c r="H8" i="1"/>
  <c r="H15" i="1"/>
  <c r="N5" i="1"/>
  <c r="N16" i="1" s="1"/>
  <c r="I20" i="1"/>
  <c r="H20" i="1"/>
  <c r="I2" i="1"/>
  <c r="H13" i="1"/>
  <c r="H33" i="1" l="1"/>
  <c r="I8" i="1"/>
  <c r="I16" i="1" s="1"/>
  <c r="I33" i="1"/>
  <c r="H16" i="1"/>
</calcChain>
</file>

<file path=xl/sharedStrings.xml><?xml version="1.0" encoding="utf-8"?>
<sst xmlns="http://schemas.openxmlformats.org/spreadsheetml/2006/main" count="527" uniqueCount="180">
  <si>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</si>
  <si>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</si>
  <si>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</si>
  <si>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</si>
  <si>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</si>
  <si>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</si>
  <si>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</si>
  <si>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</si>
  <si>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</si>
  <si>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</si>
  <si>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</si>
  <si>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</si>
  <si>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</si>
  <si>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</si>
  <si>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</si>
  <si>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</si>
  <si>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</si>
  <si>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</si>
  <si>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</si>
  <si>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</si>
  <si>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</si>
  <si>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</si>
  <si>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</si>
  <si>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</si>
  <si>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</si>
  <si>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</si>
  <si>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</si>
  <si>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</si>
  <si>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</si>
  <si>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</si>
  <si>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</si>
  <si>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</si>
  <si>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</si>
  <si>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</si>
  <si>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</si>
  <si>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United Kingdom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</si>
  <si>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</si>
  <si>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</si>
  <si>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</si>
  <si>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</si>
  <si>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</si>
  <si>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</si>
  <si>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</si>
  <si>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</si>
  <si>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</si>
  <si>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</si>
  <si>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</si>
  <si>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</si>
  <si>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</si>
  <si>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</si>
  <si>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</si>
  <si>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</si>
  <si>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</si>
  <si>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</si>
  <si>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</si>
  <si>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</si>
  <si>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</si>
  <si>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</si>
  <si>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</si>
  <si>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</si>
  <si>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</si>
  <si>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</si>
  <si>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</si>
  <si>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</si>
  <si>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</si>
  <si>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</si>
  <si>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</si>
  <si>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</si>
  <si>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</si>
  <si>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</si>
  <si>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</si>
  <si>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</si>
  <si>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</si>
  <si>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</si>
  <si>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</si>
  <si>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</si>
  <si>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</si>
  <si>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</si>
  <si>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</si>
  <si>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</si>
  <si>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</si>
  <si>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</si>
  <si>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</si>
  <si>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English Apples &amp; Pears</t>
  </si>
  <si>
    <t>Productschap Tuinbouw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</si>
  <si>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</si>
  <si>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</si>
  <si>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</si>
  <si>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</si>
  <si>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</si>
  <si>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</si>
  <si>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</si>
  <si>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</si>
  <si>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</si>
  <si>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</si>
  <si>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</si>
  <si>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</si>
  <si>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Rubinett</t>
  </si>
  <si>
    <t>Topaz</t>
  </si>
  <si>
    <t>Bellida</t>
  </si>
  <si>
    <t>Pigoen</t>
  </si>
  <si>
    <t>Ingrid Marie</t>
  </si>
  <si>
    <t>Doyenne</t>
  </si>
  <si>
    <t>Gloster*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</si>
  <si>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</si>
  <si>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</si>
  <si>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</si>
  <si>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</si>
  <si>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</si>
  <si>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</si>
  <si>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</si>
  <si>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</si>
  <si>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</si>
  <si>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</si>
  <si>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</si>
  <si>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</si>
  <si>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</si>
  <si>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</si>
  <si>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</si>
  <si>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</si>
  <si>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</si>
  <si>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</si>
  <si>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</si>
  <si>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</si>
  <si>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</si>
  <si>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</si>
  <si>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</si>
  <si>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</si>
  <si>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</si>
  <si>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</si>
  <si>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</si>
  <si>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</si>
  <si>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</si>
  <si>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</si>
  <si>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</si>
  <si>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</si>
  <si>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</si>
  <si>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</si>
  <si>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</si>
  <si>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</si>
  <si>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</si>
  <si>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</si>
  <si>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</si>
  <si>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</si>
  <si>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JULY</t>
  </si>
  <si>
    <t>Portugal</t>
  </si>
  <si>
    <t>ANP - Associação Nacional de Produtores de Pera Rocha</t>
  </si>
  <si>
    <t>Portugal:</t>
  </si>
  <si>
    <t>Golden Delicius</t>
  </si>
  <si>
    <t>Rocha</t>
  </si>
  <si>
    <t xml:space="preserve">* Other new varieties: Ariane, Belgica, Cameo, Diwa, Greenstar, Goldrush, Honey Crunch, Jazz, Junami, Kanzi, Mairac, Rubens, Tentation (temptation), Wellant, ... </t>
  </si>
  <si>
    <t>Choupette</t>
  </si>
  <si>
    <t>Evelina</t>
  </si>
  <si>
    <t>Ligol</t>
  </si>
  <si>
    <t>Concorde</t>
  </si>
  <si>
    <t>AFRUCAT</t>
  </si>
  <si>
    <t>* From 2007 Gloster is included in others</t>
  </si>
  <si>
    <t>** From 12/2014 Cox's is included in others</t>
  </si>
  <si>
    <t>Cox**</t>
  </si>
  <si>
    <t>Doyenne du Comice</t>
  </si>
  <si>
    <t>* As of 2017 the UK had a change in their calculation methods, particularly regarding Bramleys from NI hence the figures are not comparable this year.</t>
  </si>
  <si>
    <t>Forelle</t>
  </si>
  <si>
    <t>Slovakia</t>
  </si>
  <si>
    <t>Cosmic Crisp</t>
  </si>
  <si>
    <t>Durondeau</t>
  </si>
  <si>
    <t>Lucasova</t>
  </si>
  <si>
    <t>** As of the 2016/ 2017 season, the UK works with a different methodology, which is why the figures are not comparable.</t>
  </si>
  <si>
    <t>*** Starting from the 2022-2023 season, Italian pears work with a different methodology, which is why the figures are not comparable with previous years.</t>
  </si>
  <si>
    <t>Moved 2024</t>
  </si>
  <si>
    <t>United Kingdom**</t>
  </si>
  <si>
    <t>%YOY</t>
  </si>
  <si>
    <t>Moved 2025</t>
  </si>
  <si>
    <t>Honey crisp</t>
  </si>
  <si>
    <t>* Portugal: Rocha stocks are compared per two months, in this case to stocks of 1 January</t>
  </si>
  <si>
    <t>Beurre Alexander Lucas**</t>
  </si>
  <si>
    <t>Bohemica</t>
  </si>
  <si>
    <t>Please note that this is just an indication. There might be a difference of  +- 10%</t>
  </si>
  <si>
    <t>A significant part of apples are sold to the industry</t>
  </si>
  <si>
    <t>* Rocha stocks are compared per two months, in this case to stocks of 1 January</t>
  </si>
  <si>
    <t>Overview Northern Hemisphere apple and pear stocks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</si>
</sst>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5D9F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0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</cellStyleXfs>
  <cellXfs count="161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14" fontId="1" fillId="0" borderId="0" xfId="0" applyNumberFormat="1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center" wrapText="1"/>
    </xf>
    <xf numFmtId="0" fontId="0" fillId="0" borderId="0" xfId="0" quotePrefix="1"/>
    <xf numFmtId="0" fontId="7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1" fillId="2" borderId="4" xfId="0" applyFont="1" applyFill="1" applyBorder="1"/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64" fontId="0" fillId="3" borderId="0" xfId="0" applyNumberFormat="1" applyFill="1"/>
    <xf numFmtId="164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1" fillId="2" borderId="3" xfId="0" applyFont="1" applyFill="1" applyBorder="1"/>
    <xf numFmtId="164" fontId="1" fillId="3" borderId="1" xfId="0" applyNumberFormat="1" applyFont="1" applyFill="1" applyBorder="1"/>
    <xf numFmtId="3" fontId="1" fillId="0" borderId="1" xfId="0" applyNumberFormat="1" applyFont="1" applyBorder="1"/>
    <xf numFmtId="3" fontId="1" fillId="0" borderId="8" xfId="0" applyNumberFormat="1" applyFont="1" applyBorder="1"/>
    <xf numFmtId="164" fontId="0" fillId="0" borderId="0" xfId="0" applyNumberFormat="1"/>
    <xf numFmtId="3" fontId="3" fillId="0" borderId="1" xfId="0" applyNumberFormat="1" applyFont="1" applyBorder="1"/>
    <xf numFmtId="3" fontId="3" fillId="0" borderId="0" xfId="0" applyNumberFormat="1" applyFont="1"/>
    <xf numFmtId="0" fontId="1" fillId="5" borderId="4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1" fillId="5" borderId="3" xfId="0" applyFont="1" applyFill="1" applyBorder="1"/>
    <xf numFmtId="3" fontId="1" fillId="0" borderId="5" xfId="0" applyNumberFormat="1" applyFont="1" applyBorder="1"/>
    <xf numFmtId="164" fontId="3" fillId="6" borderId="0" xfId="0" applyNumberFormat="1" applyFont="1" applyFill="1"/>
    <xf numFmtId="164" fontId="3" fillId="6" borderId="1" xfId="0" applyNumberFormat="1" applyFont="1" applyFill="1" applyBorder="1"/>
    <xf numFmtId="3" fontId="0" fillId="7" borderId="0" xfId="0" applyNumberFormat="1" applyFill="1"/>
    <xf numFmtId="3" fontId="0" fillId="7" borderId="1" xfId="0" applyNumberFormat="1" applyFill="1" applyBorder="1"/>
    <xf numFmtId="0" fontId="3" fillId="0" borderId="0" xfId="2"/>
    <xf numFmtId="0" fontId="1" fillId="5" borderId="4" xfId="2" applyFont="1" applyFill="1" applyBorder="1"/>
    <xf numFmtId="0" fontId="3" fillId="5" borderId="2" xfId="2" applyFill="1" applyBorder="1"/>
    <xf numFmtId="164" fontId="3" fillId="6" borderId="0" xfId="2" applyNumberFormat="1" applyFill="1"/>
    <xf numFmtId="3" fontId="3" fillId="0" borderId="0" xfId="2" applyNumberFormat="1"/>
    <xf numFmtId="0" fontId="3" fillId="5" borderId="3" xfId="2" applyFill="1" applyBorder="1"/>
    <xf numFmtId="164" fontId="3" fillId="6" borderId="1" xfId="2" applyNumberFormat="1" applyFill="1" applyBorder="1"/>
    <xf numFmtId="3" fontId="3" fillId="0" borderId="1" xfId="2" applyNumberFormat="1" applyBorder="1"/>
    <xf numFmtId="0" fontId="1" fillId="5" borderId="3" xfId="2" applyFont="1" applyFill="1" applyBorder="1"/>
    <xf numFmtId="164" fontId="1" fillId="6" borderId="5" xfId="2" applyNumberFormat="1" applyFont="1" applyFill="1" applyBorder="1"/>
    <xf numFmtId="3" fontId="3" fillId="0" borderId="5" xfId="2" applyNumberForma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7" xfId="2" applyNumberFormat="1" applyBorder="1"/>
    <xf numFmtId="3" fontId="3" fillId="0" borderId="8" xfId="2" applyNumberFormat="1" applyBorder="1"/>
    <xf numFmtId="3" fontId="3" fillId="0" borderId="6" xfId="2" applyNumberFormat="1" applyBorder="1"/>
    <xf numFmtId="3" fontId="1" fillId="7" borderId="5" xfId="0" applyNumberFormat="1" applyFont="1" applyFill="1" applyBorder="1"/>
    <xf numFmtId="0" fontId="3" fillId="2" borderId="2" xfId="0" applyFont="1" applyFill="1" applyBorder="1"/>
    <xf numFmtId="0" fontId="11" fillId="0" borderId="0" xfId="0" applyFont="1"/>
    <xf numFmtId="3" fontId="3" fillId="7" borderId="0" xfId="0" applyNumberFormat="1" applyFont="1" applyFill="1"/>
    <xf numFmtId="3" fontId="3" fillId="7" borderId="1" xfId="0" applyNumberFormat="1" applyFont="1" applyFill="1" applyBorder="1"/>
    <xf numFmtId="3" fontId="10" fillId="4" borderId="7" xfId="1" applyNumberFormat="1" applyBorder="1"/>
    <xf numFmtId="0" fontId="1" fillId="0" borderId="0" xfId="2" applyFont="1"/>
    <xf numFmtId="164" fontId="1" fillId="6" borderId="1" xfId="0" applyNumberFormat="1" applyFont="1" applyFill="1" applyBorder="1"/>
    <xf numFmtId="3" fontId="0" fillId="0" borderId="0" xfId="0" quotePrefix="1" applyNumberFormat="1"/>
    <xf numFmtId="3" fontId="0" fillId="0" borderId="1" xfId="0" quotePrefix="1" applyNumberForma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1" fillId="0" borderId="5" xfId="2" applyNumberFormat="1" applyFont="1" applyBorder="1"/>
    <xf numFmtId="3" fontId="1" fillId="0" borderId="6" xfId="2" applyNumberFormat="1" applyFont="1" applyBorder="1"/>
    <xf numFmtId="3" fontId="0" fillId="7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1" xfId="0" applyNumberFormat="1" applyFont="1" applyBorder="1" applyAlignment="1">
      <alignment horizontal="right"/>
    </xf>
    <xf numFmtId="164" fontId="1" fillId="6" borderId="1" xfId="2" applyNumberFormat="1" applyFont="1" applyFill="1" applyBorder="1"/>
    <xf numFmtId="164" fontId="3" fillId="6" borderId="5" xfId="2" applyNumberFormat="1" applyFill="1" applyBorder="1"/>
    <xf numFmtId="3" fontId="1" fillId="0" borderId="6" xfId="0" applyNumberFormat="1" applyFont="1" applyBorder="1"/>
    <xf numFmtId="0" fontId="3" fillId="5" borderId="9" xfId="2" applyFill="1" applyBorder="1"/>
    <xf numFmtId="164" fontId="3" fillId="6" borderId="10" xfId="2" applyNumberFormat="1" applyFill="1" applyBorder="1"/>
    <xf numFmtId="3" fontId="3" fillId="0" borderId="10" xfId="2" applyNumberFormat="1" applyBorder="1"/>
    <xf numFmtId="3" fontId="3" fillId="0" borderId="11" xfId="2" applyNumberFormat="1" applyBorder="1"/>
    <xf numFmtId="3" fontId="10" fillId="4" borderId="0" xfId="1" applyNumberFormat="1" applyBorder="1"/>
    <xf numFmtId="3" fontId="3" fillId="0" borderId="7" xfId="0" applyNumberFormat="1" applyFont="1" applyBorder="1" applyAlignment="1">
      <alignment horizontal="right"/>
    </xf>
    <xf numFmtId="3" fontId="1" fillId="0" borderId="1" xfId="2" applyNumberFormat="1" applyFont="1" applyBorder="1"/>
    <xf numFmtId="3" fontId="3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4" fontId="1" fillId="0" borderId="5" xfId="0" applyNumberFormat="1" applyFont="1" applyBorder="1"/>
    <xf numFmtId="0" fontId="1" fillId="7" borderId="5" xfId="0" applyFont="1" applyFill="1" applyBorder="1"/>
    <xf numFmtId="0" fontId="1" fillId="0" borderId="5" xfId="0" applyFont="1" applyBorder="1"/>
    <xf numFmtId="3" fontId="3" fillId="8" borderId="1" xfId="0" applyNumberFormat="1" applyFont="1" applyFill="1" applyBorder="1"/>
    <xf numFmtId="3" fontId="3" fillId="8" borderId="0" xfId="2" applyNumberFormat="1" applyFill="1"/>
    <xf numFmtId="3" fontId="3" fillId="8" borderId="1" xfId="2" applyNumberFormat="1" applyFill="1" applyBorder="1"/>
    <xf numFmtId="3" fontId="1" fillId="8" borderId="5" xfId="2" applyNumberFormat="1" applyFont="1" applyFill="1" applyBorder="1"/>
    <xf numFmtId="3" fontId="1" fillId="8" borderId="1" xfId="0" applyNumberFormat="1" applyFont="1" applyFill="1" applyBorder="1" applyAlignment="1">
      <alignment horizontal="right"/>
    </xf>
    <xf numFmtId="3" fontId="3" fillId="8" borderId="0" xfId="0" applyNumberFormat="1" applyFont="1" applyFill="1"/>
    <xf numFmtId="3" fontId="1" fillId="8" borderId="1" xfId="0" applyNumberFormat="1" applyFont="1" applyFill="1" applyBorder="1"/>
    <xf numFmtId="14" fontId="1" fillId="8" borderId="5" xfId="0" applyNumberFormat="1" applyFont="1" applyFill="1" applyBorder="1"/>
    <xf numFmtId="3" fontId="0" fillId="8" borderId="0" xfId="0" applyNumberFormat="1" applyFill="1"/>
    <xf numFmtId="3" fontId="0" fillId="8" borderId="1" xfId="0" applyNumberFormat="1" applyFill="1" applyBorder="1"/>
    <xf numFmtId="3" fontId="1" fillId="8" borderId="5" xfId="0" applyNumberFormat="1" applyFont="1" applyFill="1" applyBorder="1"/>
    <xf numFmtId="164" fontId="1" fillId="3" borderId="5" xfId="0" applyNumberFormat="1" applyFont="1" applyFill="1" applyBorder="1"/>
    <xf numFmtId="0" fontId="0" fillId="5" borderId="2" xfId="0" applyFill="1" applyBorder="1"/>
    <xf numFmtId="3" fontId="3" fillId="8" borderId="10" xfId="2" applyNumberFormat="1" applyFill="1" applyBorder="1"/>
    <xf numFmtId="14" fontId="1" fillId="0" borderId="5" xfId="2" applyNumberFormat="1" applyFont="1" applyBorder="1"/>
    <xf numFmtId="164" fontId="3" fillId="0" borderId="0" xfId="2" applyNumberFormat="1"/>
    <xf numFmtId="3" fontId="0" fillId="8" borderId="0" xfId="0" applyNumberFormat="1" applyFill="1" applyAlignment="1">
      <alignment horizontal="right"/>
    </xf>
    <xf numFmtId="3" fontId="0" fillId="7" borderId="1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8" borderId="1" xfId="0" applyNumberFormat="1" applyFill="1" applyBorder="1" applyAlignment="1">
      <alignment horizontal="right"/>
    </xf>
    <xf numFmtId="3" fontId="0" fillId="0" borderId="1" xfId="0" quotePrefix="1" applyNumberFormat="1" applyBorder="1" applyAlignment="1">
      <alignment horizontal="right"/>
    </xf>
    <xf numFmtId="0" fontId="1" fillId="3" borderId="5" xfId="0" applyFont="1" applyFill="1" applyBorder="1"/>
    <xf numFmtId="164" fontId="3" fillId="6" borderId="0" xfId="0" applyNumberFormat="1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2" fontId="0" fillId="0" borderId="0" xfId="0" applyNumberFormat="1"/>
    <xf numFmtId="164" fontId="0" fillId="3" borderId="0" xfId="0" applyNumberFormat="1" applyFill="1" applyAlignment="1">
      <alignment horizontal="right"/>
    </xf>
    <xf numFmtId="3" fontId="1" fillId="7" borderId="1" xfId="0" applyNumberFormat="1" applyFont="1" applyFill="1" applyBorder="1"/>
    <xf numFmtId="164" fontId="1" fillId="6" borderId="5" xfId="0" applyNumberFormat="1" applyFont="1" applyFill="1" applyBorder="1"/>
    <xf numFmtId="3" fontId="3" fillId="7" borderId="10" xfId="2" applyNumberFormat="1" applyFill="1" applyBorder="1"/>
    <xf numFmtId="3" fontId="3" fillId="7" borderId="0" xfId="2" applyNumberFormat="1" applyFill="1"/>
    <xf numFmtId="164" fontId="3" fillId="6" borderId="0" xfId="2" applyNumberFormat="1" applyFill="1" applyAlignment="1">
      <alignment horizontal="right"/>
    </xf>
    <xf numFmtId="3" fontId="3" fillId="7" borderId="0" xfId="2" applyNumberFormat="1" applyFill="1" applyAlignment="1">
      <alignment horizontal="right"/>
    </xf>
    <xf numFmtId="3" fontId="3" fillId="0" borderId="0" xfId="2" applyNumberFormat="1" applyAlignment="1">
      <alignment horizontal="right"/>
    </xf>
    <xf numFmtId="3" fontId="3" fillId="8" borderId="0" xfId="2" applyNumberFormat="1" applyFill="1" applyAlignment="1">
      <alignment horizontal="right"/>
    </xf>
    <xf numFmtId="3" fontId="3" fillId="7" borderId="1" xfId="2" applyNumberFormat="1" applyFill="1" applyBorder="1"/>
    <xf numFmtId="3" fontId="1" fillId="7" borderId="1" xfId="2" applyNumberFormat="1" applyFont="1" applyFill="1" applyBorder="1"/>
    <xf numFmtId="164" fontId="3" fillId="3" borderId="0" xfId="2" applyNumberFormat="1" applyFill="1"/>
    <xf numFmtId="3" fontId="3" fillId="9" borderId="0" xfId="2" applyNumberFormat="1" applyFill="1"/>
    <xf numFmtId="164" fontId="0" fillId="3" borderId="1" xfId="0" applyNumberForma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3" fontId="1" fillId="7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1" fillId="7" borderId="5" xfId="2" applyNumberFormat="1" applyFont="1" applyFill="1" applyBorder="1"/>
    <xf numFmtId="164" fontId="3" fillId="6" borderId="1" xfId="0" applyNumberFormat="1" applyFont="1" applyFill="1" applyBorder="1" applyAlignment="1">
      <alignment horizontal="right"/>
    </xf>
    <xf numFmtId="3" fontId="3" fillId="7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64" fontId="3" fillId="6" borderId="1" xfId="2" applyNumberFormat="1" applyFill="1" applyBorder="1" applyAlignment="1">
      <alignment horizontal="right"/>
    </xf>
    <xf numFmtId="164" fontId="3" fillId="7" borderId="0" xfId="0" applyNumberFormat="1" applyFont="1" applyFill="1"/>
    <xf numFmtId="164" fontId="3" fillId="0" borderId="0" xfId="0" applyNumberFormat="1" applyFont="1"/>
    <xf numFmtId="164" fontId="3" fillId="8" borderId="0" xfId="0" applyNumberFormat="1" applyFont="1" applyFill="1"/>
    <xf numFmtId="164" fontId="3" fillId="7" borderId="1" xfId="0" applyNumberFormat="1" applyFont="1" applyFill="1" applyBorder="1"/>
    <xf numFmtId="164" fontId="3" fillId="0" borderId="1" xfId="0" applyNumberFormat="1" applyFont="1" applyBorder="1"/>
    <xf numFmtId="164" fontId="3" fillId="8" borderId="1" xfId="0" applyNumberFormat="1" applyFont="1" applyFill="1" applyBorder="1"/>
    <xf numFmtId="164" fontId="1" fillId="7" borderId="1" xfId="0" applyNumberFormat="1" applyFont="1" applyFill="1" applyBorder="1"/>
    <xf numFmtId="164" fontId="1" fillId="0" borderId="1" xfId="0" applyNumberFormat="1" applyFont="1" applyBorder="1"/>
    <xf numFmtId="164" fontId="1" fillId="8" borderId="1" xfId="0" applyNumberFormat="1" applyFont="1" applyFill="1" applyBorder="1"/>
    <xf numFmtId="3" fontId="0" fillId="7" borderId="5" xfId="0" applyNumberFormat="1" applyFill="1" applyBorder="1"/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" fillId="6" borderId="5" xfId="2" applyNumberFormat="1" applyFont="1" applyFill="1" applyBorder="1" applyAlignment="1">
      <alignment horizontal="right"/>
    </xf>
    <xf numFmtId="0" fontId="0" fillId="5" borderId="3" xfId="0" applyFill="1" applyBorder="1"/>
  </cellXfs>
  <cellStyles count="6">
    <cellStyle name="Bad" xfId="1" builtinId="27"/>
    <cellStyle name="Normal" xfId="0" builtinId="0"/>
    <cellStyle name="Normal 2" xfId="2" xr:uid="{00000000-0005-0000-0000-000002000000}"/>
    <cellStyle name="Normal 3" xfId="5" xr:uid="{45EA3354-C43E-476C-8F05-80B45BC453AC}"/>
    <cellStyle name="Normale 2" xfId="3" xr:uid="{00000000-0005-0000-0000-000003000000}"/>
    <cellStyle name="Normale 6" xfId="4" xr:uid="{00000000-0005-0000-0000-000004000000}"/>
  </cellStyles>
  <dxfs count="35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99"/>
      <color rgb="FFCCFFCC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297180</xdr:colOff>
      <xdr:row>13</xdr:row>
      <xdr:rowOff>114300</xdr:rowOff>
    </xdr:to>
    <xdr:pic>
      <xdr:nvPicPr>
        <xdr:cNvPr id="21653" name="Picture 1">
          <a:extLst>
            <a:ext uri="{FF2B5EF4-FFF2-40B4-BE49-F238E27FC236}">
              <a16:creationId xmlns:a16="http://schemas.microsoft.com/office/drawing/2014/main" id="{EFA9B54F-F254-80E3-DC86-6BA996A02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167640"/>
          <a:ext cx="2164080" cy="212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workbookViewId="0"/>
  </sheetViews>
  <sheetFormatPr defaultColWidth="8.6640625" defaultRowHeight="13.2" x14ac:dyDescent="0.25"/>
  <cols>
    <col min="1" max="2" width="8.6640625" customWidth="1"/>
    <col min="3" max="3" width="18.44140625" customWidth="1"/>
  </cols>
  <sheetData>
    <row r="19" spans="2:7" x14ac:dyDescent="0.25">
      <c r="B19" s="3" t="s">
        <v>179</v>
      </c>
      <c r="G19" s="8" t="s">
        <v>144</v>
      </c>
    </row>
    <row r="21" spans="2:7" x14ac:dyDescent="0.25">
      <c r="B21" t="s">
        <v>62</v>
      </c>
      <c r="C21" t="s">
        <v>63</v>
      </c>
    </row>
    <row r="22" spans="2:7" x14ac:dyDescent="0.25">
      <c r="C22" t="s">
        <v>64</v>
      </c>
    </row>
    <row r="23" spans="2:7" x14ac:dyDescent="0.25">
      <c r="C23" t="s">
        <v>91</v>
      </c>
    </row>
    <row r="24" spans="2:7" x14ac:dyDescent="0.25">
      <c r="C24" s="3" t="s">
        <v>119</v>
      </c>
    </row>
    <row r="26" spans="2:7" x14ac:dyDescent="0.25">
      <c r="B26" t="s">
        <v>65</v>
      </c>
      <c r="C26" t="s">
        <v>66</v>
      </c>
      <c r="D26" t="s">
        <v>67</v>
      </c>
    </row>
    <row r="27" spans="2:7" x14ac:dyDescent="0.25">
      <c r="C27" t="s">
        <v>68</v>
      </c>
      <c r="D27" t="s">
        <v>69</v>
      </c>
    </row>
    <row r="28" spans="2:7" x14ac:dyDescent="0.25">
      <c r="C28" t="s">
        <v>70</v>
      </c>
      <c r="D28" t="s">
        <v>71</v>
      </c>
    </row>
    <row r="29" spans="2:7" x14ac:dyDescent="0.25">
      <c r="C29" t="s">
        <v>72</v>
      </c>
      <c r="D29" s="3" t="s">
        <v>87</v>
      </c>
    </row>
    <row r="30" spans="2:7" x14ac:dyDescent="0.25">
      <c r="C30" s="3" t="s">
        <v>136</v>
      </c>
      <c r="D30" t="s">
        <v>73</v>
      </c>
    </row>
    <row r="31" spans="2:7" x14ac:dyDescent="0.25">
      <c r="C31" t="s">
        <v>74</v>
      </c>
      <c r="D31" t="s">
        <v>132</v>
      </c>
    </row>
    <row r="32" spans="2:7" x14ac:dyDescent="0.25">
      <c r="C32" t="s">
        <v>75</v>
      </c>
      <c r="D32" t="s">
        <v>131</v>
      </c>
    </row>
    <row r="33" spans="3:4" x14ac:dyDescent="0.25">
      <c r="C33" t="s">
        <v>76</v>
      </c>
      <c r="D33" t="s">
        <v>77</v>
      </c>
    </row>
    <row r="34" spans="3:4" x14ac:dyDescent="0.25">
      <c r="C34" t="s">
        <v>78</v>
      </c>
      <c r="D34" s="19" t="s">
        <v>86</v>
      </c>
    </row>
    <row r="35" spans="3:4" x14ac:dyDescent="0.25">
      <c r="C35" t="s">
        <v>147</v>
      </c>
      <c r="D35" s="19" t="s">
        <v>146</v>
      </c>
    </row>
    <row r="36" spans="3:4" x14ac:dyDescent="0.25">
      <c r="C36" t="s">
        <v>80</v>
      </c>
      <c r="D36" t="s">
        <v>155</v>
      </c>
    </row>
    <row r="37" spans="3:4" x14ac:dyDescent="0.25">
      <c r="C37" t="s">
        <v>79</v>
      </c>
      <c r="D37" t="s">
        <v>85</v>
      </c>
    </row>
    <row r="38" spans="3:4" x14ac:dyDescent="0.25">
      <c r="C38" t="s">
        <v>81</v>
      </c>
      <c r="D38" t="s">
        <v>84</v>
      </c>
    </row>
    <row r="39" spans="3:4" x14ac:dyDescent="0.25">
      <c r="C39" t="s">
        <v>82</v>
      </c>
      <c r="D39" t="s">
        <v>83</v>
      </c>
    </row>
  </sheetData>
  <phoneticPr fontId="2" type="noConversion"/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29"/>
  <sheetViews>
    <sheetView workbookViewId="0"/>
  </sheetViews>
  <sheetFormatPr defaultColWidth="9.109375" defaultRowHeight="13.2" x14ac:dyDescent="0.25"/>
  <cols>
    <col min="1" max="1" width="19.332031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4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4" x14ac:dyDescent="0.25">
      <c r="A2" s="39" t="s">
        <v>4</v>
      </c>
      <c r="B2" s="43" t="str">
        <f t="shared" ref="B2:B21" si="0">IFERROR(((E2-F2)/F2),"")</f>
        <v/>
      </c>
      <c r="C2" s="66">
        <v>-293</v>
      </c>
      <c r="D2" s="37">
        <v>-564</v>
      </c>
      <c r="E2" s="103">
        <v>0</v>
      </c>
      <c r="F2" s="37">
        <v>0</v>
      </c>
      <c r="G2" s="37">
        <v>0</v>
      </c>
      <c r="H2" s="37">
        <v>0</v>
      </c>
      <c r="I2" s="37">
        <v>0</v>
      </c>
      <c r="J2" s="37">
        <v>0</v>
      </c>
      <c r="K2" s="37"/>
      <c r="L2" s="37"/>
      <c r="M2" s="37"/>
      <c r="N2" s="37"/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7">
        <v>0</v>
      </c>
      <c r="V2" s="37">
        <v>0</v>
      </c>
      <c r="W2" s="58">
        <v>0</v>
      </c>
    </row>
    <row r="3" spans="1:24" x14ac:dyDescent="0.25">
      <c r="A3" s="39" t="s">
        <v>11</v>
      </c>
      <c r="B3" s="43">
        <f t="shared" si="0"/>
        <v>35.5</v>
      </c>
      <c r="C3" s="66">
        <v>-529</v>
      </c>
      <c r="D3" s="37">
        <v>-38</v>
      </c>
      <c r="E3" s="103">
        <v>292</v>
      </c>
      <c r="F3" s="37">
        <v>8</v>
      </c>
      <c r="G3" s="37">
        <v>0</v>
      </c>
      <c r="H3" s="37">
        <v>0</v>
      </c>
      <c r="I3" s="37">
        <v>0</v>
      </c>
      <c r="J3" s="37">
        <v>0</v>
      </c>
      <c r="K3" s="37">
        <v>30</v>
      </c>
      <c r="L3" s="37"/>
      <c r="M3" s="37">
        <v>0</v>
      </c>
      <c r="N3" s="37"/>
      <c r="O3" s="37">
        <v>0</v>
      </c>
      <c r="P3" s="37">
        <v>6</v>
      </c>
      <c r="Q3" s="37">
        <v>0</v>
      </c>
      <c r="R3" s="37">
        <v>5</v>
      </c>
      <c r="S3" s="37">
        <v>0</v>
      </c>
      <c r="T3" s="37">
        <v>0</v>
      </c>
      <c r="U3" s="37">
        <v>0</v>
      </c>
      <c r="V3" s="37">
        <v>0</v>
      </c>
      <c r="W3" s="58">
        <v>0</v>
      </c>
    </row>
    <row r="4" spans="1:24" x14ac:dyDescent="0.25">
      <c r="A4" s="39" t="s">
        <v>5</v>
      </c>
      <c r="B4" s="43" t="str">
        <f t="shared" si="0"/>
        <v/>
      </c>
      <c r="C4" s="66">
        <v>0</v>
      </c>
      <c r="D4" s="37">
        <v>0</v>
      </c>
      <c r="E4" s="103">
        <v>0</v>
      </c>
      <c r="F4" s="37">
        <v>0</v>
      </c>
      <c r="G4" s="37">
        <v>0</v>
      </c>
      <c r="H4" s="37">
        <v>0</v>
      </c>
      <c r="I4" s="37">
        <v>0</v>
      </c>
      <c r="J4" s="37">
        <v>0</v>
      </c>
      <c r="K4" s="37"/>
      <c r="L4" s="37"/>
      <c r="M4" s="37"/>
      <c r="N4" s="37"/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7">
        <v>0</v>
      </c>
      <c r="V4" s="37">
        <v>0</v>
      </c>
      <c r="W4" s="58">
        <v>0</v>
      </c>
    </row>
    <row r="5" spans="1:24" x14ac:dyDescent="0.25">
      <c r="A5" s="39" t="s">
        <v>2</v>
      </c>
      <c r="B5" s="43">
        <f t="shared" si="0"/>
        <v>4.2894736842105265</v>
      </c>
      <c r="C5" s="66">
        <v>-1636</v>
      </c>
      <c r="D5" s="37">
        <v>-816</v>
      </c>
      <c r="E5" s="103">
        <v>804</v>
      </c>
      <c r="F5" s="37">
        <v>152</v>
      </c>
      <c r="G5" s="37">
        <v>749</v>
      </c>
      <c r="H5" s="37">
        <v>1581</v>
      </c>
      <c r="I5" s="37">
        <v>252</v>
      </c>
      <c r="J5" s="37">
        <v>117</v>
      </c>
      <c r="K5" s="37">
        <v>798</v>
      </c>
      <c r="L5" s="37">
        <v>347</v>
      </c>
      <c r="M5" s="37">
        <v>50</v>
      </c>
      <c r="N5" s="37">
        <v>6</v>
      </c>
      <c r="O5" s="37">
        <v>1203</v>
      </c>
      <c r="P5" s="37">
        <v>336</v>
      </c>
      <c r="Q5" s="37">
        <v>0</v>
      </c>
      <c r="R5" s="37">
        <v>0</v>
      </c>
      <c r="S5" s="37">
        <v>0</v>
      </c>
      <c r="T5" s="37">
        <v>70</v>
      </c>
      <c r="U5" s="37">
        <v>3</v>
      </c>
      <c r="V5" s="37">
        <v>0</v>
      </c>
      <c r="W5" s="58">
        <v>6</v>
      </c>
    </row>
    <row r="6" spans="1:24" x14ac:dyDescent="0.25">
      <c r="A6" s="39" t="s">
        <v>12</v>
      </c>
      <c r="B6" s="43">
        <f t="shared" si="0"/>
        <v>-1</v>
      </c>
      <c r="C6" s="66">
        <v>-230</v>
      </c>
      <c r="D6" s="37">
        <v>-308</v>
      </c>
      <c r="E6" s="103">
        <v>0</v>
      </c>
      <c r="F6" s="37">
        <v>6</v>
      </c>
      <c r="G6" s="37">
        <v>0</v>
      </c>
      <c r="H6" s="37">
        <v>248</v>
      </c>
      <c r="I6" s="37">
        <v>426</v>
      </c>
      <c r="J6" s="37">
        <v>0</v>
      </c>
      <c r="K6" s="37">
        <v>1149</v>
      </c>
      <c r="L6" s="37"/>
      <c r="M6" s="37">
        <v>23</v>
      </c>
      <c r="N6" s="37">
        <v>11</v>
      </c>
      <c r="O6" s="37">
        <v>0</v>
      </c>
      <c r="P6" s="37">
        <v>108</v>
      </c>
      <c r="Q6" s="37">
        <v>0</v>
      </c>
      <c r="R6" s="37">
        <v>6</v>
      </c>
      <c r="S6" s="37">
        <v>0</v>
      </c>
      <c r="T6" s="37">
        <v>1</v>
      </c>
      <c r="U6" s="37">
        <v>30</v>
      </c>
      <c r="V6" s="37">
        <v>0</v>
      </c>
      <c r="W6" s="58">
        <v>5</v>
      </c>
    </row>
    <row r="7" spans="1:24" x14ac:dyDescent="0.25">
      <c r="A7" s="39" t="s">
        <v>9</v>
      </c>
      <c r="B7" s="43">
        <f t="shared" si="0"/>
        <v>-0.9</v>
      </c>
      <c r="C7" s="66">
        <v>-200</v>
      </c>
      <c r="D7" s="37">
        <v>-1153</v>
      </c>
      <c r="E7" s="103">
        <v>3</v>
      </c>
      <c r="F7" s="37">
        <v>30</v>
      </c>
      <c r="G7" s="37">
        <v>41</v>
      </c>
      <c r="H7" s="37">
        <v>619</v>
      </c>
      <c r="I7" s="37">
        <v>860</v>
      </c>
      <c r="J7" s="37">
        <v>53</v>
      </c>
      <c r="K7" s="37">
        <v>57</v>
      </c>
      <c r="L7" s="37"/>
      <c r="M7" s="37">
        <v>0</v>
      </c>
      <c r="N7" s="37"/>
      <c r="O7" s="37">
        <v>0</v>
      </c>
      <c r="P7" s="37">
        <v>15</v>
      </c>
      <c r="Q7" s="37">
        <v>0</v>
      </c>
      <c r="R7" s="37">
        <v>17</v>
      </c>
      <c r="S7" s="37">
        <v>93</v>
      </c>
      <c r="T7" s="37">
        <v>2</v>
      </c>
      <c r="U7" s="37">
        <v>2</v>
      </c>
      <c r="V7" s="37">
        <v>58</v>
      </c>
      <c r="W7" s="58">
        <v>0</v>
      </c>
    </row>
    <row r="8" spans="1:24" x14ac:dyDescent="0.25">
      <c r="A8" s="39" t="s">
        <v>14</v>
      </c>
      <c r="B8" s="43" t="str">
        <f t="shared" si="0"/>
        <v/>
      </c>
      <c r="C8" s="66">
        <v>0</v>
      </c>
      <c r="D8" s="37">
        <v>0</v>
      </c>
      <c r="E8" s="103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/>
      <c r="L8" s="37"/>
      <c r="M8" s="37">
        <v>2</v>
      </c>
      <c r="N8" s="37">
        <v>85</v>
      </c>
      <c r="O8" s="37">
        <v>0</v>
      </c>
      <c r="P8" s="37">
        <v>10</v>
      </c>
      <c r="Q8" s="37">
        <v>1</v>
      </c>
      <c r="R8" s="37">
        <v>0</v>
      </c>
      <c r="S8" s="37">
        <v>187</v>
      </c>
      <c r="T8" s="37">
        <v>61</v>
      </c>
      <c r="U8" s="37">
        <v>12</v>
      </c>
      <c r="V8" s="37">
        <v>0</v>
      </c>
      <c r="W8" s="58">
        <v>60</v>
      </c>
    </row>
    <row r="9" spans="1:24" x14ac:dyDescent="0.25">
      <c r="A9" s="39" t="s">
        <v>3</v>
      </c>
      <c r="B9" s="43">
        <f t="shared" si="0"/>
        <v>1.3157894736842106</v>
      </c>
      <c r="C9" s="66">
        <v>-183</v>
      </c>
      <c r="D9" s="37">
        <v>-262</v>
      </c>
      <c r="E9" s="103">
        <v>220</v>
      </c>
      <c r="F9" s="37">
        <v>95</v>
      </c>
      <c r="G9" s="37">
        <v>83</v>
      </c>
      <c r="H9" s="37">
        <v>218</v>
      </c>
      <c r="I9" s="37">
        <v>755</v>
      </c>
      <c r="J9" s="37">
        <v>388</v>
      </c>
      <c r="K9" s="37">
        <v>796</v>
      </c>
      <c r="L9" s="37"/>
      <c r="M9" s="37">
        <v>1998</v>
      </c>
      <c r="N9" s="37">
        <v>1204</v>
      </c>
      <c r="O9" s="37">
        <v>844</v>
      </c>
      <c r="P9" s="37">
        <v>874</v>
      </c>
      <c r="Q9" s="37">
        <v>160</v>
      </c>
      <c r="R9" s="37">
        <v>1320</v>
      </c>
      <c r="S9" s="37">
        <v>558</v>
      </c>
      <c r="T9" s="37">
        <v>810</v>
      </c>
      <c r="U9" s="37">
        <v>2884</v>
      </c>
      <c r="V9" s="37">
        <v>428</v>
      </c>
      <c r="W9" s="58">
        <v>1446</v>
      </c>
    </row>
    <row r="10" spans="1:24" x14ac:dyDescent="0.25">
      <c r="A10" s="39" t="s">
        <v>15</v>
      </c>
      <c r="B10" s="43" t="str">
        <f t="shared" si="0"/>
        <v/>
      </c>
      <c r="C10" s="66">
        <v>0</v>
      </c>
      <c r="D10" s="37">
        <v>0</v>
      </c>
      <c r="E10" s="103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58"/>
    </row>
    <row r="11" spans="1:24" x14ac:dyDescent="0.25">
      <c r="A11" s="39" t="s">
        <v>10</v>
      </c>
      <c r="B11" s="43">
        <f t="shared" si="0"/>
        <v>-0.61861313868613144</v>
      </c>
      <c r="C11" s="66">
        <v>-271</v>
      </c>
      <c r="D11" s="37">
        <v>-348</v>
      </c>
      <c r="E11" s="103">
        <v>209</v>
      </c>
      <c r="F11" s="37">
        <v>548</v>
      </c>
      <c r="G11" s="37">
        <v>485</v>
      </c>
      <c r="H11" s="37">
        <v>2909</v>
      </c>
      <c r="I11" s="37">
        <v>2344</v>
      </c>
      <c r="J11" s="37">
        <v>250</v>
      </c>
      <c r="K11" s="37">
        <v>3335</v>
      </c>
      <c r="L11" s="37"/>
      <c r="M11" s="37">
        <v>1763</v>
      </c>
      <c r="N11" s="37">
        <v>5111</v>
      </c>
      <c r="O11" s="37">
        <v>295</v>
      </c>
      <c r="P11" s="37">
        <v>6397</v>
      </c>
      <c r="Q11" s="37">
        <v>3305</v>
      </c>
      <c r="R11" s="37">
        <v>1968</v>
      </c>
      <c r="S11" s="37">
        <v>119</v>
      </c>
      <c r="T11" s="37">
        <v>3312</v>
      </c>
      <c r="U11" s="37">
        <v>2217</v>
      </c>
      <c r="V11" s="37">
        <v>369</v>
      </c>
      <c r="W11" s="58">
        <v>2165</v>
      </c>
      <c r="X11" s="1"/>
    </row>
    <row r="12" spans="1:24" x14ac:dyDescent="0.25">
      <c r="A12" s="39" t="s">
        <v>101</v>
      </c>
      <c r="B12" s="43" t="str">
        <f t="shared" si="0"/>
        <v/>
      </c>
      <c r="C12" s="66">
        <v>0</v>
      </c>
      <c r="D12" s="37">
        <v>0</v>
      </c>
      <c r="E12" s="103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58"/>
      <c r="X12" s="1"/>
    </row>
    <row r="13" spans="1:24" x14ac:dyDescent="0.25">
      <c r="A13" s="39" t="s">
        <v>26</v>
      </c>
      <c r="B13" s="43">
        <f t="shared" si="0"/>
        <v>1.3306169965075669</v>
      </c>
      <c r="C13" s="66">
        <v>-1981</v>
      </c>
      <c r="D13" s="37">
        <v>-2454</v>
      </c>
      <c r="E13" s="103">
        <v>4004</v>
      </c>
      <c r="F13" s="37">
        <v>1718</v>
      </c>
      <c r="G13" s="37">
        <v>2155</v>
      </c>
      <c r="H13" s="37">
        <v>4730</v>
      </c>
      <c r="I13" s="37">
        <v>1973</v>
      </c>
      <c r="J13" s="37">
        <v>2190</v>
      </c>
      <c r="K13" s="37">
        <v>8585</v>
      </c>
      <c r="L13" s="37">
        <v>1564</v>
      </c>
      <c r="M13" s="37">
        <v>8022</v>
      </c>
      <c r="N13" s="37">
        <v>6145</v>
      </c>
      <c r="O13" s="37">
        <v>7492</v>
      </c>
      <c r="P13" s="37">
        <v>8579</v>
      </c>
      <c r="Q13" s="37">
        <v>8830</v>
      </c>
      <c r="R13" s="37">
        <v>7963</v>
      </c>
      <c r="S13" s="37">
        <v>3846</v>
      </c>
      <c r="T13" s="37">
        <v>7960</v>
      </c>
      <c r="U13" s="37">
        <v>12094</v>
      </c>
      <c r="V13" s="37">
        <v>2770</v>
      </c>
      <c r="W13" s="58">
        <v>6314</v>
      </c>
      <c r="X13" s="1"/>
    </row>
    <row r="14" spans="1:24" x14ac:dyDescent="0.25">
      <c r="A14" s="39" t="s">
        <v>25</v>
      </c>
      <c r="B14" s="43">
        <f t="shared" si="0"/>
        <v>0.39805036555645817</v>
      </c>
      <c r="C14" s="66">
        <v>-1915</v>
      </c>
      <c r="D14" s="37">
        <v>-1690</v>
      </c>
      <c r="E14" s="103">
        <v>3442</v>
      </c>
      <c r="F14" s="37">
        <v>2462</v>
      </c>
      <c r="G14" s="37">
        <v>3773</v>
      </c>
      <c r="H14" s="37">
        <v>8594</v>
      </c>
      <c r="I14" s="37">
        <v>6072</v>
      </c>
      <c r="J14" s="37">
        <v>4986</v>
      </c>
      <c r="K14" s="37">
        <v>13415</v>
      </c>
      <c r="L14" s="37">
        <v>543</v>
      </c>
      <c r="M14" s="37">
        <v>11467</v>
      </c>
      <c r="N14" s="37">
        <v>14730</v>
      </c>
      <c r="O14" s="37">
        <v>15030</v>
      </c>
      <c r="P14" s="37">
        <v>13438</v>
      </c>
      <c r="Q14" s="37">
        <v>8514</v>
      </c>
      <c r="R14" s="37">
        <v>6273</v>
      </c>
      <c r="S14" s="37">
        <v>5166</v>
      </c>
      <c r="T14" s="37">
        <v>10988</v>
      </c>
      <c r="U14" s="37">
        <v>10428</v>
      </c>
      <c r="V14" s="37">
        <v>1440</v>
      </c>
      <c r="W14" s="58">
        <v>5294</v>
      </c>
    </row>
    <row r="15" spans="1:24" x14ac:dyDescent="0.25">
      <c r="A15" s="39" t="s">
        <v>13</v>
      </c>
      <c r="B15" s="43">
        <f t="shared" si="0"/>
        <v>-0.88636363636363635</v>
      </c>
      <c r="C15" s="66">
        <v>-310</v>
      </c>
      <c r="D15" s="37">
        <v>-589</v>
      </c>
      <c r="E15" s="103">
        <v>15</v>
      </c>
      <c r="F15" s="37">
        <v>132</v>
      </c>
      <c r="G15" s="37">
        <v>369</v>
      </c>
      <c r="H15" s="37">
        <v>452</v>
      </c>
      <c r="I15" s="37">
        <v>501</v>
      </c>
      <c r="J15" s="37">
        <v>226</v>
      </c>
      <c r="K15" s="37">
        <v>865</v>
      </c>
      <c r="L15" s="37">
        <v>30</v>
      </c>
      <c r="M15" s="37">
        <v>1477</v>
      </c>
      <c r="N15" s="37">
        <v>549</v>
      </c>
      <c r="O15" s="37">
        <v>1047</v>
      </c>
      <c r="P15" s="37">
        <v>221</v>
      </c>
      <c r="Q15" s="37">
        <v>15</v>
      </c>
      <c r="R15" s="37">
        <v>229</v>
      </c>
      <c r="S15" s="37">
        <v>70</v>
      </c>
      <c r="T15" s="37">
        <v>171</v>
      </c>
      <c r="U15" s="37">
        <v>10</v>
      </c>
      <c r="V15" s="37">
        <v>0</v>
      </c>
      <c r="W15" s="58">
        <v>3</v>
      </c>
    </row>
    <row r="16" spans="1:24" x14ac:dyDescent="0.25">
      <c r="A16" s="39" t="s">
        <v>134</v>
      </c>
      <c r="B16" s="43">
        <f t="shared" si="0"/>
        <v>-0.23892363825905655</v>
      </c>
      <c r="C16" s="66">
        <v>-10599</v>
      </c>
      <c r="D16" s="37">
        <v>-8836</v>
      </c>
      <c r="E16" s="103">
        <v>11681</v>
      </c>
      <c r="F16" s="37">
        <v>15348</v>
      </c>
      <c r="G16" s="37">
        <v>12861</v>
      </c>
      <c r="H16" s="37">
        <v>25399</v>
      </c>
      <c r="I16" s="37">
        <v>17005</v>
      </c>
      <c r="J16" s="37">
        <v>8670</v>
      </c>
      <c r="K16" s="37">
        <v>24771</v>
      </c>
      <c r="L16" s="37">
        <v>7748</v>
      </c>
      <c r="M16" s="37">
        <v>18977</v>
      </c>
      <c r="N16" s="37">
        <v>10356</v>
      </c>
      <c r="O16" s="37">
        <v>6046</v>
      </c>
      <c r="P16" s="37">
        <v>5395</v>
      </c>
      <c r="Q16" s="37">
        <v>3920</v>
      </c>
      <c r="R16" s="37">
        <v>2779</v>
      </c>
      <c r="S16" s="37">
        <v>1346</v>
      </c>
      <c r="T16" s="37">
        <v>3394</v>
      </c>
      <c r="U16" s="37">
        <v>1559</v>
      </c>
      <c r="V16" s="37">
        <v>606</v>
      </c>
      <c r="W16" s="58">
        <v>12</v>
      </c>
    </row>
    <row r="17" spans="1:23" x14ac:dyDescent="0.25">
      <c r="A17" s="39" t="s">
        <v>90</v>
      </c>
      <c r="B17" s="43" t="str">
        <f t="shared" si="0"/>
        <v/>
      </c>
      <c r="C17" s="66">
        <v>0</v>
      </c>
      <c r="D17" s="37">
        <v>0</v>
      </c>
      <c r="E17" s="103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/>
      <c r="L17" s="37"/>
      <c r="M17" s="37"/>
      <c r="N17" s="37"/>
      <c r="O17" s="37"/>
      <c r="P17" s="37"/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58">
        <v>0</v>
      </c>
    </row>
    <row r="18" spans="1:23" x14ac:dyDescent="0.25">
      <c r="A18" s="39" t="s">
        <v>98</v>
      </c>
      <c r="B18" s="43" t="str">
        <f t="shared" si="0"/>
        <v/>
      </c>
      <c r="C18" s="66">
        <v>-58</v>
      </c>
      <c r="D18" s="37">
        <v>-168</v>
      </c>
      <c r="E18" s="103">
        <v>8</v>
      </c>
      <c r="F18" s="37">
        <v>0</v>
      </c>
      <c r="G18" s="37">
        <v>142</v>
      </c>
      <c r="H18" s="37">
        <v>0</v>
      </c>
      <c r="I18" s="37">
        <v>0</v>
      </c>
      <c r="J18" s="37">
        <v>0</v>
      </c>
      <c r="K18" s="37">
        <v>116</v>
      </c>
      <c r="L18" s="37"/>
      <c r="M18" s="37">
        <v>0</v>
      </c>
      <c r="N18" s="37">
        <v>42</v>
      </c>
      <c r="O18" s="37">
        <v>0</v>
      </c>
      <c r="P18" s="37">
        <v>5</v>
      </c>
      <c r="Q18" s="37">
        <v>0</v>
      </c>
      <c r="R18" s="37">
        <v>36</v>
      </c>
      <c r="S18" s="37">
        <v>28</v>
      </c>
      <c r="T18" s="37">
        <v>47</v>
      </c>
      <c r="U18" s="37">
        <v>40</v>
      </c>
      <c r="V18" s="37">
        <v>0</v>
      </c>
      <c r="W18" s="58">
        <v>26</v>
      </c>
    </row>
    <row r="19" spans="1:23" x14ac:dyDescent="0.25">
      <c r="A19" s="39" t="s">
        <v>143</v>
      </c>
      <c r="B19" s="43">
        <f t="shared" si="0"/>
        <v>-4.1217501585288519E-3</v>
      </c>
      <c r="C19" s="66">
        <v>-4013</v>
      </c>
      <c r="D19" s="37">
        <v>-3454</v>
      </c>
      <c r="E19" s="103">
        <v>3141</v>
      </c>
      <c r="F19" s="37">
        <v>3154</v>
      </c>
      <c r="G19" s="37">
        <v>4239</v>
      </c>
      <c r="H19" s="37">
        <v>3611</v>
      </c>
      <c r="I19" s="37">
        <v>2849</v>
      </c>
      <c r="J19" s="37">
        <v>2481</v>
      </c>
      <c r="K19" s="37">
        <v>4888</v>
      </c>
      <c r="L19" s="37">
        <v>240</v>
      </c>
      <c r="M19" s="37">
        <v>2237</v>
      </c>
      <c r="N19" s="37">
        <v>2162</v>
      </c>
      <c r="O19" s="37">
        <v>2145</v>
      </c>
      <c r="P19" s="37">
        <v>762</v>
      </c>
      <c r="Q19" s="37">
        <v>104</v>
      </c>
      <c r="R19" s="37">
        <v>558</v>
      </c>
      <c r="S19" s="37">
        <v>262</v>
      </c>
      <c r="T19" s="37">
        <v>406</v>
      </c>
      <c r="U19" s="37">
        <v>258</v>
      </c>
      <c r="V19" s="37">
        <v>90</v>
      </c>
      <c r="W19" s="58">
        <v>0</v>
      </c>
    </row>
    <row r="20" spans="1:23" ht="13.8" thickBot="1" x14ac:dyDescent="0.3">
      <c r="A20" s="40" t="s">
        <v>6</v>
      </c>
      <c r="B20" s="44">
        <f t="shared" si="0"/>
        <v>-0.32800000000000001</v>
      </c>
      <c r="C20" s="66">
        <v>404</v>
      </c>
      <c r="D20" s="37">
        <v>-1755</v>
      </c>
      <c r="E20" s="103">
        <v>504</v>
      </c>
      <c r="F20" s="37">
        <v>750</v>
      </c>
      <c r="G20" s="37">
        <v>1700</v>
      </c>
      <c r="H20" s="37">
        <v>468</v>
      </c>
      <c r="I20" s="37">
        <v>175</v>
      </c>
      <c r="J20" s="37">
        <v>18</v>
      </c>
      <c r="K20" s="37">
        <v>475</v>
      </c>
      <c r="L20" s="37"/>
      <c r="M20" s="37">
        <v>68</v>
      </c>
      <c r="N20" s="36">
        <v>156</v>
      </c>
      <c r="O20" s="36">
        <v>480</v>
      </c>
      <c r="P20" s="36">
        <v>535</v>
      </c>
      <c r="Q20" s="36">
        <v>332</v>
      </c>
      <c r="R20" s="36">
        <v>43</v>
      </c>
      <c r="S20" s="36">
        <v>214</v>
      </c>
      <c r="T20" s="36">
        <v>275</v>
      </c>
      <c r="U20" s="36">
        <v>140</v>
      </c>
      <c r="V20" s="36">
        <v>214</v>
      </c>
      <c r="W20" s="59">
        <v>96</v>
      </c>
    </row>
    <row r="21" spans="1:23" ht="13.8" thickBot="1" x14ac:dyDescent="0.3">
      <c r="A21" s="41" t="s">
        <v>93</v>
      </c>
      <c r="B21" s="70">
        <f t="shared" si="0"/>
        <v>-3.2782854567061427E-3</v>
      </c>
      <c r="C21" s="63">
        <v>-21814</v>
      </c>
      <c r="D21" s="42">
        <v>-22435</v>
      </c>
      <c r="E21" s="108">
        <f t="shared" ref="E21" si="1">SUM(E2:E20)</f>
        <v>24323</v>
      </c>
      <c r="F21" s="42">
        <f t="shared" ref="F21:L21" si="2">SUM(F2:F20)</f>
        <v>24403</v>
      </c>
      <c r="G21" s="42">
        <f t="shared" si="2"/>
        <v>26597</v>
      </c>
      <c r="H21" s="42">
        <f t="shared" si="2"/>
        <v>48829</v>
      </c>
      <c r="I21" s="42">
        <f t="shared" si="2"/>
        <v>33212</v>
      </c>
      <c r="J21" s="42">
        <f t="shared" si="2"/>
        <v>19379</v>
      </c>
      <c r="K21" s="42">
        <f t="shared" si="2"/>
        <v>59280</v>
      </c>
      <c r="L21" s="42">
        <f t="shared" si="2"/>
        <v>10472</v>
      </c>
      <c r="M21" s="42">
        <v>46084</v>
      </c>
      <c r="N21" s="42">
        <f>SUM(N2:N20)</f>
        <v>40557</v>
      </c>
      <c r="O21" s="42">
        <f>SUM(O2:O20)</f>
        <v>34582</v>
      </c>
      <c r="P21" s="42">
        <f>SUM(P2:P20)</f>
        <v>36681</v>
      </c>
      <c r="Q21" s="42">
        <f>SUM(Q2:Q20)</f>
        <v>25181</v>
      </c>
      <c r="R21" s="42">
        <f t="shared" ref="R21:W21" si="3">SUM(R2:R20)</f>
        <v>21197</v>
      </c>
      <c r="S21" s="42">
        <f t="shared" si="3"/>
        <v>11889</v>
      </c>
      <c r="T21" s="42">
        <f t="shared" si="3"/>
        <v>27497</v>
      </c>
      <c r="U21" s="42">
        <f t="shared" si="3"/>
        <v>29677</v>
      </c>
      <c r="V21" s="42">
        <f t="shared" si="3"/>
        <v>5975</v>
      </c>
      <c r="W21" s="34">
        <f t="shared" si="3"/>
        <v>15427</v>
      </c>
    </row>
    <row r="23" spans="1:23" ht="13.8" thickBo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47" customFormat="1" ht="13.8" thickBot="1" x14ac:dyDescent="0.3">
      <c r="A24" s="48" t="s">
        <v>24</v>
      </c>
      <c r="B24" s="119" t="s">
        <v>170</v>
      </c>
      <c r="C24" s="96" t="s">
        <v>171</v>
      </c>
      <c r="D24" s="97" t="s">
        <v>168</v>
      </c>
      <c r="E24" s="105">
        <v>45839</v>
      </c>
      <c r="F24" s="95">
        <v>45474</v>
      </c>
      <c r="G24" s="95">
        <v>45108</v>
      </c>
      <c r="H24" s="95">
        <v>44743</v>
      </c>
      <c r="I24" s="95">
        <v>44378</v>
      </c>
      <c r="J24" s="95">
        <v>44013</v>
      </c>
      <c r="K24" s="95">
        <v>43647</v>
      </c>
      <c r="L24" s="95">
        <v>43282</v>
      </c>
      <c r="M24" s="24">
        <v>42917</v>
      </c>
      <c r="N24" s="24">
        <v>42552</v>
      </c>
      <c r="O24" s="24">
        <v>42186</v>
      </c>
      <c r="P24" s="24">
        <v>41821</v>
      </c>
      <c r="Q24" s="24">
        <v>41456</v>
      </c>
      <c r="R24" s="24">
        <v>41091</v>
      </c>
      <c r="S24" s="24">
        <v>40725</v>
      </c>
      <c r="T24" s="24">
        <v>40360</v>
      </c>
      <c r="U24" s="24">
        <v>39995</v>
      </c>
      <c r="V24" s="24">
        <v>39630</v>
      </c>
      <c r="W24" s="25">
        <v>39264</v>
      </c>
    </row>
    <row r="25" spans="1:23" s="47" customFormat="1" ht="13.8" thickBot="1" x14ac:dyDescent="0.3">
      <c r="A25" s="52" t="s">
        <v>6</v>
      </c>
      <c r="B25" s="81">
        <f t="shared" ref="B25:B26" si="4">IFERROR(((E25-F25)/F25),"")</f>
        <v>-1</v>
      </c>
      <c r="C25" s="132">
        <v>-137</v>
      </c>
      <c r="D25" s="54">
        <v>-423</v>
      </c>
      <c r="E25" s="100">
        <v>0</v>
      </c>
      <c r="F25" s="54">
        <v>5</v>
      </c>
      <c r="G25" s="54">
        <v>0</v>
      </c>
      <c r="H25" s="54">
        <v>74</v>
      </c>
      <c r="I25" s="54">
        <v>0</v>
      </c>
      <c r="J25" s="54"/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60</v>
      </c>
      <c r="S25" s="54">
        <v>0</v>
      </c>
      <c r="T25" s="54">
        <v>63</v>
      </c>
      <c r="U25" s="54">
        <v>0</v>
      </c>
      <c r="V25" s="54">
        <v>49</v>
      </c>
      <c r="W25" s="61">
        <v>0</v>
      </c>
    </row>
    <row r="26" spans="1:23" s="47" customFormat="1" ht="13.8" thickBot="1" x14ac:dyDescent="0.3">
      <c r="A26" s="55" t="s">
        <v>93</v>
      </c>
      <c r="B26" s="56">
        <f t="shared" si="4"/>
        <v>-1</v>
      </c>
      <c r="C26" s="141">
        <v>-137</v>
      </c>
      <c r="D26" s="75">
        <v>-423</v>
      </c>
      <c r="E26" s="101">
        <f>SUM(E25)</f>
        <v>0</v>
      </c>
      <c r="F26" s="75">
        <v>5</v>
      </c>
      <c r="G26" s="75">
        <v>0</v>
      </c>
      <c r="H26" s="75">
        <v>74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f>SUM(O25)</f>
        <v>0</v>
      </c>
      <c r="P26" s="75">
        <f>SUM(P25)</f>
        <v>0</v>
      </c>
      <c r="Q26" s="75">
        <v>0</v>
      </c>
      <c r="R26" s="75">
        <f>SUM(R25)</f>
        <v>60</v>
      </c>
      <c r="S26" s="75">
        <v>0</v>
      </c>
      <c r="T26" s="75">
        <f>SUM(T25)</f>
        <v>63</v>
      </c>
      <c r="U26" s="75">
        <f>SUM(U25)</f>
        <v>0</v>
      </c>
      <c r="V26" s="57">
        <f>SUM(V25)</f>
        <v>49</v>
      </c>
      <c r="W26" s="62">
        <v>0</v>
      </c>
    </row>
    <row r="27" spans="1:23" s="47" customFormat="1" x14ac:dyDescent="0.25"/>
    <row r="28" spans="1:23" s="47" customFormat="1" x14ac:dyDescent="0.25"/>
    <row r="29" spans="1:23" s="47" customFormat="1" x14ac:dyDescent="0.25">
      <c r="A29"/>
      <c r="B29"/>
      <c r="C29"/>
      <c r="D29"/>
      <c r="E29"/>
    </row>
  </sheetData>
  <conditionalFormatting sqref="E1">
    <cfRule type="expression" dxfId="15" priority="2">
      <formula>ISBLANK(XFD1)=FALSE</formula>
    </cfRule>
  </conditionalFormatting>
  <conditionalFormatting sqref="E24">
    <cfRule type="expression" dxfId="14" priority="1">
      <formula>ISBLANK(XFD24)=FALSE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46"/>
  <sheetViews>
    <sheetView workbookViewId="0"/>
  </sheetViews>
  <sheetFormatPr defaultColWidth="9.109375" defaultRowHeight="13.2" x14ac:dyDescent="0.25"/>
  <cols>
    <col min="1" max="1" width="19.6640625" customWidth="1"/>
    <col min="2" max="3" width="10.6640625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3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3" x14ac:dyDescent="0.25">
      <c r="A2" s="20" t="s">
        <v>20</v>
      </c>
      <c r="B2" s="123" t="str">
        <f t="shared" ref="B2:B20" si="0">IFERROR(((E2-F2)/F2),"")</f>
        <v/>
      </c>
      <c r="C2" s="45">
        <v>0</v>
      </c>
      <c r="D2" s="1">
        <v>0</v>
      </c>
      <c r="E2" s="106"/>
      <c r="F2" s="1"/>
      <c r="G2" s="1"/>
      <c r="H2" s="1">
        <v>0</v>
      </c>
      <c r="I2" s="1"/>
      <c r="J2" s="1"/>
      <c r="K2" s="1">
        <v>0</v>
      </c>
      <c r="L2" s="1">
        <v>0</v>
      </c>
      <c r="M2" s="1">
        <v>0</v>
      </c>
      <c r="N2" s="1">
        <v>0</v>
      </c>
      <c r="O2" s="1">
        <v>0</v>
      </c>
      <c r="P2" s="1"/>
      <c r="Q2" s="1"/>
      <c r="R2" s="1"/>
      <c r="S2" s="1">
        <v>0</v>
      </c>
      <c r="T2" s="1"/>
      <c r="U2" s="1"/>
      <c r="V2" s="1"/>
      <c r="W2" s="28"/>
    </row>
    <row r="3" spans="1:23" x14ac:dyDescent="0.25">
      <c r="A3" s="20" t="s">
        <v>11</v>
      </c>
      <c r="B3" s="123">
        <f t="shared" si="0"/>
        <v>-0.81842091952860252</v>
      </c>
      <c r="C3" s="45">
        <v>-3737.9000000000005</v>
      </c>
      <c r="D3" s="1">
        <v>-5908.28</v>
      </c>
      <c r="E3" s="106">
        <v>718</v>
      </c>
      <c r="F3" s="1">
        <v>3954.2</v>
      </c>
      <c r="G3" s="1">
        <v>2250.3000000000002</v>
      </c>
      <c r="H3" s="1">
        <v>6208.8</v>
      </c>
      <c r="I3" s="1">
        <v>2370.6</v>
      </c>
      <c r="J3" s="1">
        <v>2396</v>
      </c>
      <c r="K3" s="1">
        <v>12197.300000000001</v>
      </c>
      <c r="L3" s="1">
        <v>20</v>
      </c>
      <c r="M3" s="1">
        <v>830</v>
      </c>
      <c r="N3" s="1">
        <v>165</v>
      </c>
      <c r="O3" s="1">
        <v>1969</v>
      </c>
      <c r="P3" s="1">
        <v>1613</v>
      </c>
      <c r="Q3" s="1">
        <v>1</v>
      </c>
      <c r="R3" s="1">
        <v>330</v>
      </c>
      <c r="S3" s="1">
        <v>260</v>
      </c>
      <c r="T3" s="1">
        <v>1990</v>
      </c>
      <c r="U3" s="1">
        <v>168</v>
      </c>
      <c r="V3" s="1">
        <v>46</v>
      </c>
      <c r="W3" s="28">
        <v>0</v>
      </c>
    </row>
    <row r="4" spans="1:23" ht="14.4" x14ac:dyDescent="0.3">
      <c r="A4" s="20" t="s">
        <v>61</v>
      </c>
      <c r="B4" s="123">
        <f t="shared" si="0"/>
        <v>0.86708012710080018</v>
      </c>
      <c r="C4" s="45">
        <v>-11797.8</v>
      </c>
      <c r="D4" s="1">
        <v>-11050.298000000001</v>
      </c>
      <c r="E4" s="106">
        <v>4877</v>
      </c>
      <c r="F4" s="1">
        <v>2612.1</v>
      </c>
      <c r="G4" s="1">
        <v>3019</v>
      </c>
      <c r="H4" s="1">
        <v>509.2</v>
      </c>
      <c r="I4" s="1">
        <v>373.7</v>
      </c>
      <c r="J4" s="1"/>
      <c r="K4" s="1">
        <v>18</v>
      </c>
      <c r="L4" s="1">
        <v>0</v>
      </c>
      <c r="M4" s="1">
        <v>0</v>
      </c>
      <c r="N4" s="1">
        <v>10</v>
      </c>
      <c r="O4" s="1">
        <v>99</v>
      </c>
      <c r="P4" s="1">
        <v>110</v>
      </c>
      <c r="Q4" s="1"/>
      <c r="R4" s="1"/>
      <c r="S4" s="1"/>
      <c r="T4" s="87"/>
      <c r="U4" s="87"/>
      <c r="V4" s="87"/>
      <c r="W4" s="68"/>
    </row>
    <row r="5" spans="1:23" x14ac:dyDescent="0.25">
      <c r="A5" s="20" t="s">
        <v>2</v>
      </c>
      <c r="B5" s="123" t="str">
        <f t="shared" si="0"/>
        <v/>
      </c>
      <c r="C5" s="45">
        <v>0</v>
      </c>
      <c r="D5" s="1">
        <v>0</v>
      </c>
      <c r="E5" s="106"/>
      <c r="F5" s="1"/>
      <c r="G5" s="1"/>
      <c r="H5" s="1"/>
      <c r="I5" s="1"/>
      <c r="J5" s="1"/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2</v>
      </c>
      <c r="Q5" s="1"/>
      <c r="R5" s="1"/>
      <c r="S5" s="1"/>
      <c r="T5" s="1"/>
      <c r="U5" s="1"/>
      <c r="V5" s="1"/>
      <c r="W5" s="28"/>
    </row>
    <row r="6" spans="1:23" x14ac:dyDescent="0.25">
      <c r="A6" s="20" t="s">
        <v>12</v>
      </c>
      <c r="B6" s="123">
        <f t="shared" si="0"/>
        <v>0.69556840077071302</v>
      </c>
      <c r="C6" s="45">
        <v>-4810.0881611672339</v>
      </c>
      <c r="D6" s="1">
        <v>-2739.46566432394</v>
      </c>
      <c r="E6" s="106">
        <v>528</v>
      </c>
      <c r="F6" s="1">
        <v>311.39999999999998</v>
      </c>
      <c r="G6" s="1">
        <v>10</v>
      </c>
      <c r="H6" s="1">
        <v>1460.6028833586513</v>
      </c>
      <c r="I6" s="1">
        <v>4292</v>
      </c>
      <c r="J6" s="1">
        <v>1046</v>
      </c>
      <c r="K6" s="1">
        <v>4545.2</v>
      </c>
      <c r="L6" s="1">
        <v>34</v>
      </c>
      <c r="M6" s="1">
        <v>2226</v>
      </c>
      <c r="N6" s="1">
        <v>4058</v>
      </c>
      <c r="O6" s="1">
        <v>1265</v>
      </c>
      <c r="P6" s="1">
        <v>6509</v>
      </c>
      <c r="Q6" s="1">
        <v>48</v>
      </c>
      <c r="R6" s="1">
        <v>666</v>
      </c>
      <c r="S6" s="1">
        <v>1198</v>
      </c>
      <c r="T6" s="1">
        <v>754</v>
      </c>
      <c r="U6" s="1">
        <v>656</v>
      </c>
      <c r="V6" s="1">
        <v>40</v>
      </c>
      <c r="W6" s="28">
        <v>196</v>
      </c>
    </row>
    <row r="7" spans="1:23" x14ac:dyDescent="0.25">
      <c r="A7" s="20" t="s">
        <v>9</v>
      </c>
      <c r="B7" s="123">
        <f t="shared" si="0"/>
        <v>0.65405405405405403</v>
      </c>
      <c r="C7" s="45">
        <v>-1673.7</v>
      </c>
      <c r="D7" s="1">
        <v>-557.91</v>
      </c>
      <c r="E7" s="106">
        <v>306</v>
      </c>
      <c r="F7" s="1">
        <v>185</v>
      </c>
      <c r="G7" s="1">
        <v>356</v>
      </c>
      <c r="H7" s="1">
        <v>406</v>
      </c>
      <c r="I7" s="1"/>
      <c r="J7" s="1"/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18</v>
      </c>
      <c r="Q7" s="1"/>
      <c r="R7" s="1"/>
      <c r="S7" s="1"/>
      <c r="T7" s="1"/>
      <c r="U7" s="1"/>
      <c r="V7" s="1"/>
      <c r="W7" s="28"/>
    </row>
    <row r="8" spans="1:23" x14ac:dyDescent="0.25">
      <c r="A8" s="20" t="s">
        <v>14</v>
      </c>
      <c r="B8" s="123" t="str">
        <f t="shared" si="0"/>
        <v/>
      </c>
      <c r="C8" s="45">
        <v>0</v>
      </c>
      <c r="D8" s="1">
        <v>0</v>
      </c>
      <c r="E8" s="106"/>
      <c r="F8" s="1"/>
      <c r="G8" s="1"/>
      <c r="H8" s="1"/>
      <c r="I8" s="1"/>
      <c r="J8" s="1"/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/>
      <c r="R8" s="1"/>
      <c r="S8" s="1"/>
      <c r="T8" s="1">
        <v>304</v>
      </c>
      <c r="U8" s="1">
        <v>31</v>
      </c>
      <c r="V8" s="1">
        <v>0</v>
      </c>
      <c r="W8" s="28">
        <v>0</v>
      </c>
    </row>
    <row r="9" spans="1:23" x14ac:dyDescent="0.25">
      <c r="A9" s="20" t="s">
        <v>3</v>
      </c>
      <c r="B9" s="123">
        <f t="shared" si="0"/>
        <v>-0.38760648203177622</v>
      </c>
      <c r="C9" s="45">
        <v>-45926.734999999986</v>
      </c>
      <c r="D9" s="1">
        <v>-38043.416828975576</v>
      </c>
      <c r="E9" s="106">
        <v>77281</v>
      </c>
      <c r="F9" s="1">
        <v>126195</v>
      </c>
      <c r="G9" s="1">
        <v>67523.37</v>
      </c>
      <c r="H9" s="1">
        <v>115225.18405433417</v>
      </c>
      <c r="I9" s="1">
        <v>108070.71900000001</v>
      </c>
      <c r="J9" s="1">
        <v>104344</v>
      </c>
      <c r="K9" s="1">
        <v>146736.59999999998</v>
      </c>
      <c r="L9" s="1">
        <v>18562.3</v>
      </c>
      <c r="M9" s="71">
        <v>159586</v>
      </c>
      <c r="N9" s="71">
        <v>122966</v>
      </c>
      <c r="O9" s="71">
        <v>122902</v>
      </c>
      <c r="P9" s="71">
        <v>107531</v>
      </c>
      <c r="Q9" s="71">
        <v>62721</v>
      </c>
      <c r="R9" s="71">
        <v>104536</v>
      </c>
      <c r="S9" s="71">
        <v>86506</v>
      </c>
      <c r="T9" s="71">
        <v>83760</v>
      </c>
      <c r="U9" s="71">
        <v>111632</v>
      </c>
      <c r="V9" s="1">
        <v>58133</v>
      </c>
      <c r="W9" s="28">
        <v>58385</v>
      </c>
    </row>
    <row r="10" spans="1:23" x14ac:dyDescent="0.25">
      <c r="A10" s="20" t="s">
        <v>17</v>
      </c>
      <c r="B10" s="123">
        <f t="shared" si="0"/>
        <v>0.94994737457607292</v>
      </c>
      <c r="C10" s="45">
        <v>-12661.655000000002</v>
      </c>
      <c r="D10" s="1">
        <v>-5120.1900000000005</v>
      </c>
      <c r="E10" s="106">
        <v>8337</v>
      </c>
      <c r="F10" s="1">
        <v>4275.5</v>
      </c>
      <c r="G10" s="1">
        <v>2597.944</v>
      </c>
      <c r="H10" s="1">
        <v>1578.3</v>
      </c>
      <c r="I10" s="1">
        <v>6913</v>
      </c>
      <c r="J10" s="1">
        <v>4872</v>
      </c>
      <c r="K10" s="1">
        <v>6108.2000000000007</v>
      </c>
      <c r="L10" s="1">
        <v>4132.2</v>
      </c>
      <c r="M10" s="71">
        <v>858</v>
      </c>
      <c r="N10" s="71">
        <v>5960.2</v>
      </c>
      <c r="O10" s="71">
        <v>1729</v>
      </c>
      <c r="P10" s="71">
        <v>1783</v>
      </c>
      <c r="Q10" s="71">
        <v>60</v>
      </c>
      <c r="R10" s="71">
        <v>789</v>
      </c>
      <c r="S10" s="71">
        <v>534</v>
      </c>
      <c r="T10" s="71">
        <v>103</v>
      </c>
      <c r="U10" s="71">
        <v>413</v>
      </c>
      <c r="V10" s="1">
        <v>0</v>
      </c>
      <c r="W10" s="28">
        <v>0</v>
      </c>
    </row>
    <row r="11" spans="1:23" x14ac:dyDescent="0.25">
      <c r="A11" s="20" t="s">
        <v>10</v>
      </c>
      <c r="B11" s="123" t="str">
        <f t="shared" si="0"/>
        <v/>
      </c>
      <c r="C11" s="45">
        <v>0</v>
      </c>
      <c r="D11" s="1">
        <v>0</v>
      </c>
      <c r="E11" s="106"/>
      <c r="F11" s="1"/>
      <c r="G11" s="1"/>
      <c r="H11" s="1"/>
      <c r="I11" s="1"/>
      <c r="J11" s="1"/>
      <c r="K11" s="1">
        <v>40</v>
      </c>
      <c r="L11" s="1">
        <v>81</v>
      </c>
      <c r="M11" s="71">
        <v>35</v>
      </c>
      <c r="N11" s="71">
        <v>302</v>
      </c>
      <c r="O11" s="71">
        <v>63</v>
      </c>
      <c r="P11" s="71">
        <v>1313</v>
      </c>
      <c r="Q11" s="71">
        <v>278</v>
      </c>
      <c r="R11" s="71"/>
      <c r="S11" s="71"/>
      <c r="T11" s="71">
        <v>1217</v>
      </c>
      <c r="U11" s="71">
        <v>1004</v>
      </c>
      <c r="V11" s="1">
        <v>40</v>
      </c>
      <c r="W11" s="28">
        <v>509</v>
      </c>
    </row>
    <row r="12" spans="1:23" x14ac:dyDescent="0.25">
      <c r="A12" s="20" t="s">
        <v>26</v>
      </c>
      <c r="B12" s="123">
        <f t="shared" si="0"/>
        <v>-2.8077753779697623E-2</v>
      </c>
      <c r="C12" s="45">
        <v>-342</v>
      </c>
      <c r="D12" s="1">
        <v>-323</v>
      </c>
      <c r="E12" s="106">
        <v>450</v>
      </c>
      <c r="F12" s="1">
        <v>463</v>
      </c>
      <c r="G12" s="1">
        <v>589.79999999999995</v>
      </c>
      <c r="H12" s="1">
        <v>2357</v>
      </c>
      <c r="I12" s="1">
        <v>882</v>
      </c>
      <c r="J12" s="1">
        <v>25</v>
      </c>
      <c r="K12" s="1">
        <v>3349</v>
      </c>
      <c r="L12" s="1">
        <v>602</v>
      </c>
      <c r="M12" s="71">
        <v>1851</v>
      </c>
      <c r="N12" s="71">
        <v>3718.2</v>
      </c>
      <c r="O12" s="71">
        <v>3021</v>
      </c>
      <c r="P12" s="71">
        <v>6339</v>
      </c>
      <c r="Q12" s="71">
        <v>2182</v>
      </c>
      <c r="R12" s="71">
        <v>3787</v>
      </c>
      <c r="S12" s="71"/>
      <c r="T12" s="71">
        <v>4442</v>
      </c>
      <c r="U12" s="71">
        <v>3217</v>
      </c>
      <c r="V12" s="1">
        <v>1749</v>
      </c>
      <c r="W12" s="28">
        <v>1449</v>
      </c>
    </row>
    <row r="13" spans="1:23" x14ac:dyDescent="0.25">
      <c r="A13" s="20" t="s">
        <v>50</v>
      </c>
      <c r="B13" s="123" t="str">
        <f t="shared" si="0"/>
        <v/>
      </c>
      <c r="C13" s="45">
        <v>0</v>
      </c>
      <c r="D13" s="1">
        <v>0</v>
      </c>
      <c r="E13" s="106"/>
      <c r="F13" s="1"/>
      <c r="G13" s="1"/>
      <c r="H13" s="1"/>
      <c r="I13" s="1"/>
      <c r="J13" s="1"/>
      <c r="K13" s="1">
        <v>0</v>
      </c>
      <c r="L13" s="1">
        <v>0</v>
      </c>
      <c r="M13" s="71">
        <v>0</v>
      </c>
      <c r="N13" s="71">
        <v>0</v>
      </c>
      <c r="O13" s="71">
        <v>0</v>
      </c>
      <c r="P13" s="71"/>
      <c r="Q13" s="71"/>
      <c r="R13" s="71"/>
      <c r="S13" s="71"/>
      <c r="T13" s="71"/>
      <c r="U13" s="71"/>
      <c r="V13" s="1"/>
      <c r="W13" s="28"/>
    </row>
    <row r="14" spans="1:23" x14ac:dyDescent="0.25">
      <c r="A14" s="20" t="s">
        <v>106</v>
      </c>
      <c r="B14" s="123">
        <f t="shared" si="0"/>
        <v>-0.93588417786970013</v>
      </c>
      <c r="C14" s="45">
        <v>-1495.7450000000001</v>
      </c>
      <c r="D14" s="1">
        <v>-942.09999999999991</v>
      </c>
      <c r="E14" s="106">
        <v>62</v>
      </c>
      <c r="F14" s="1">
        <v>967</v>
      </c>
      <c r="G14" s="1">
        <v>395</v>
      </c>
      <c r="H14" s="1">
        <v>1349.5</v>
      </c>
      <c r="I14" s="1">
        <v>2350.3000000000002</v>
      </c>
      <c r="J14" s="1">
        <v>49</v>
      </c>
      <c r="K14" s="1">
        <v>2961.6</v>
      </c>
      <c r="L14" s="1">
        <v>4</v>
      </c>
      <c r="M14" s="71">
        <v>2093</v>
      </c>
      <c r="N14" s="71">
        <v>2420</v>
      </c>
      <c r="O14" s="71">
        <v>2071</v>
      </c>
      <c r="P14" s="71">
        <v>2234</v>
      </c>
      <c r="Q14" s="71">
        <v>273</v>
      </c>
      <c r="R14" s="71"/>
      <c r="S14" s="71">
        <v>821</v>
      </c>
      <c r="T14" s="71">
        <v>93</v>
      </c>
      <c r="U14" s="71">
        <v>1521</v>
      </c>
      <c r="V14" s="1">
        <v>130</v>
      </c>
      <c r="W14" s="28">
        <v>345</v>
      </c>
    </row>
    <row r="15" spans="1:23" x14ac:dyDescent="0.25">
      <c r="A15" s="20" t="s">
        <v>13</v>
      </c>
      <c r="B15" s="123">
        <f t="shared" si="0"/>
        <v>0.41614615532200655</v>
      </c>
      <c r="C15" s="45">
        <v>-6054.2180000000008</v>
      </c>
      <c r="D15" s="1">
        <v>-7582.83</v>
      </c>
      <c r="E15" s="106">
        <v>6643</v>
      </c>
      <c r="F15" s="1">
        <v>4690.8999999999996</v>
      </c>
      <c r="G15" s="1">
        <v>5898</v>
      </c>
      <c r="H15" s="1">
        <v>8702</v>
      </c>
      <c r="I15" s="1">
        <v>7711</v>
      </c>
      <c r="J15" s="1">
        <v>514</v>
      </c>
      <c r="K15" s="1">
        <v>5479</v>
      </c>
      <c r="L15" s="1"/>
      <c r="M15" s="71"/>
      <c r="N15" s="71"/>
      <c r="O15" s="71"/>
      <c r="P15" s="71"/>
      <c r="Q15" s="71"/>
      <c r="R15" s="71"/>
      <c r="S15" s="71"/>
      <c r="T15" s="71"/>
      <c r="U15" s="71"/>
      <c r="V15" s="1"/>
      <c r="W15" s="28"/>
    </row>
    <row r="16" spans="1:23" x14ac:dyDescent="0.25">
      <c r="A16" s="20" t="s">
        <v>19</v>
      </c>
      <c r="B16" s="123">
        <f t="shared" si="0"/>
        <v>-0.47554210791729701</v>
      </c>
      <c r="C16" s="45">
        <v>-5166.6060000000052</v>
      </c>
      <c r="D16" s="1">
        <v>-3227.2999999999997</v>
      </c>
      <c r="E16" s="106">
        <v>312</v>
      </c>
      <c r="F16" s="1">
        <v>594.9</v>
      </c>
      <c r="G16" s="1">
        <v>260.5</v>
      </c>
      <c r="H16" s="1">
        <v>2595.3999999999996</v>
      </c>
      <c r="I16" s="1">
        <v>4983.6000000000004</v>
      </c>
      <c r="J16" s="1">
        <v>2686</v>
      </c>
      <c r="K16" s="1">
        <v>6169.1</v>
      </c>
      <c r="L16" s="1">
        <v>95.8</v>
      </c>
      <c r="M16" s="71">
        <v>12549</v>
      </c>
      <c r="N16" s="71">
        <v>4193.2</v>
      </c>
      <c r="O16" s="71">
        <v>3488</v>
      </c>
      <c r="P16" s="71">
        <v>6111</v>
      </c>
      <c r="Q16" s="71">
        <v>256</v>
      </c>
      <c r="R16" s="71">
        <v>385</v>
      </c>
      <c r="S16" s="71">
        <v>461</v>
      </c>
      <c r="T16" s="71">
        <v>2142</v>
      </c>
      <c r="U16" s="71">
        <v>2892</v>
      </c>
      <c r="V16" s="1">
        <v>80</v>
      </c>
      <c r="W16" s="28">
        <v>1113</v>
      </c>
    </row>
    <row r="17" spans="1:23" x14ac:dyDescent="0.25">
      <c r="A17" s="20" t="s">
        <v>107</v>
      </c>
      <c r="B17" s="123" t="str">
        <f t="shared" si="0"/>
        <v/>
      </c>
      <c r="C17" s="45">
        <v>-2792.9969999999994</v>
      </c>
      <c r="D17" s="1">
        <v>-50</v>
      </c>
      <c r="E17" s="106">
        <v>3000</v>
      </c>
      <c r="F17" s="1">
        <v>0</v>
      </c>
      <c r="G17" s="1">
        <v>1800</v>
      </c>
      <c r="H17" s="1">
        <v>0</v>
      </c>
      <c r="I17" s="1">
        <v>3055</v>
      </c>
      <c r="J17" s="1"/>
      <c r="K17" s="1">
        <v>2300</v>
      </c>
      <c r="L17" s="1">
        <v>0</v>
      </c>
      <c r="M17" s="71">
        <v>1625</v>
      </c>
      <c r="N17" s="71">
        <v>1463</v>
      </c>
      <c r="O17" s="71">
        <v>437</v>
      </c>
      <c r="P17" s="71">
        <v>194</v>
      </c>
      <c r="Q17" s="71"/>
      <c r="R17" s="71"/>
      <c r="S17" s="71">
        <v>0</v>
      </c>
      <c r="T17" s="71"/>
      <c r="U17" s="71"/>
      <c r="V17" s="1"/>
      <c r="W17" s="28"/>
    </row>
    <row r="18" spans="1:23" x14ac:dyDescent="0.25">
      <c r="A18" s="20" t="s">
        <v>21</v>
      </c>
      <c r="B18" s="123" t="str">
        <f t="shared" si="0"/>
        <v/>
      </c>
      <c r="C18" s="45">
        <v>0</v>
      </c>
      <c r="D18" s="1">
        <v>0</v>
      </c>
      <c r="E18" s="106"/>
      <c r="F18" s="1"/>
      <c r="G18" s="1"/>
      <c r="H18" s="1"/>
      <c r="I18" s="1"/>
      <c r="J18" s="1"/>
      <c r="K18" s="1">
        <v>300</v>
      </c>
      <c r="L18" s="1">
        <v>0</v>
      </c>
      <c r="M18" s="71">
        <v>547</v>
      </c>
      <c r="N18" s="71">
        <v>1826.4</v>
      </c>
      <c r="O18" s="71">
        <v>575</v>
      </c>
      <c r="P18" s="71">
        <v>564</v>
      </c>
      <c r="Q18" s="71"/>
      <c r="R18" s="71"/>
      <c r="S18" s="71"/>
      <c r="T18" s="71">
        <v>0</v>
      </c>
      <c r="U18" s="71">
        <v>371</v>
      </c>
      <c r="V18" s="1">
        <v>0</v>
      </c>
      <c r="W18" s="28">
        <v>40</v>
      </c>
    </row>
    <row r="19" spans="1:23" ht="13.8" thickBot="1" x14ac:dyDescent="0.3">
      <c r="A19" s="22" t="s">
        <v>59</v>
      </c>
      <c r="B19" s="123">
        <f t="shared" si="0"/>
        <v>-5.2410869086738747E-2</v>
      </c>
      <c r="C19" s="46">
        <v>-26890.646999999997</v>
      </c>
      <c r="D19" s="10">
        <v>-23429.750000000004</v>
      </c>
      <c r="E19" s="107">
        <f>2854+21686</f>
        <v>24540</v>
      </c>
      <c r="F19" s="10">
        <f>23160+2737.3</f>
        <v>25897.3</v>
      </c>
      <c r="G19" s="10">
        <f>1688+11111</f>
        <v>12799</v>
      </c>
      <c r="H19" s="10">
        <f>2354+7388</f>
        <v>9742</v>
      </c>
      <c r="I19" s="10">
        <f>1684+775</f>
        <v>2459</v>
      </c>
      <c r="J19" s="10">
        <v>284</v>
      </c>
      <c r="K19" s="10">
        <v>4222.6000000000004</v>
      </c>
      <c r="L19" s="10">
        <v>0</v>
      </c>
      <c r="M19" s="72">
        <v>3429</v>
      </c>
      <c r="N19" s="72">
        <v>260.10000000000002</v>
      </c>
      <c r="O19" s="72">
        <v>360</v>
      </c>
      <c r="P19" s="72">
        <v>1044</v>
      </c>
      <c r="Q19" s="72">
        <v>90</v>
      </c>
      <c r="R19" s="72">
        <v>1445</v>
      </c>
      <c r="S19" s="72">
        <v>3283</v>
      </c>
      <c r="T19" s="72">
        <v>55</v>
      </c>
      <c r="U19" s="72">
        <v>194</v>
      </c>
      <c r="V19" s="10">
        <v>0</v>
      </c>
      <c r="W19" s="30">
        <v>50</v>
      </c>
    </row>
    <row r="20" spans="1:23" ht="13.8" thickBot="1" x14ac:dyDescent="0.3">
      <c r="A20" s="31" t="s">
        <v>22</v>
      </c>
      <c r="B20" s="109">
        <f t="shared" si="0"/>
        <v>-0.25326615976956296</v>
      </c>
      <c r="C20" s="124">
        <v>-123350.09116116722</v>
      </c>
      <c r="D20" s="33">
        <v>-98974.540493299544</v>
      </c>
      <c r="E20" s="104">
        <f t="shared" ref="E20" si="1">SUM(E2:E19)</f>
        <v>127054</v>
      </c>
      <c r="F20" s="33">
        <f t="shared" ref="F20:K20" si="2">SUM(F2:F19)</f>
        <v>170146.3</v>
      </c>
      <c r="G20" s="33">
        <f t="shared" si="2"/>
        <v>97498.914000000004</v>
      </c>
      <c r="H20" s="33">
        <f t="shared" si="2"/>
        <v>150133.98693769283</v>
      </c>
      <c r="I20" s="33">
        <f t="shared" si="2"/>
        <v>143460.91900000002</v>
      </c>
      <c r="J20" s="33">
        <f t="shared" si="2"/>
        <v>116216</v>
      </c>
      <c r="K20" s="33">
        <f t="shared" si="2"/>
        <v>194426.6</v>
      </c>
      <c r="L20" s="33">
        <f t="shared" ref="L20:Q20" si="3">SUM(L2:L19)</f>
        <v>23531.3</v>
      </c>
      <c r="M20" s="33">
        <f t="shared" si="3"/>
        <v>185629</v>
      </c>
      <c r="N20" s="33">
        <f t="shared" si="3"/>
        <v>147342.10000000003</v>
      </c>
      <c r="O20" s="33">
        <f t="shared" si="3"/>
        <v>137979</v>
      </c>
      <c r="P20" s="33">
        <f t="shared" si="3"/>
        <v>135365</v>
      </c>
      <c r="Q20" s="33">
        <f t="shared" si="3"/>
        <v>65909</v>
      </c>
      <c r="R20" s="33">
        <f t="shared" ref="R20:W20" si="4">SUM(R2:R19)</f>
        <v>111938</v>
      </c>
      <c r="S20" s="33">
        <f t="shared" si="4"/>
        <v>93063</v>
      </c>
      <c r="T20" s="33">
        <f t="shared" si="4"/>
        <v>94860</v>
      </c>
      <c r="U20" s="33">
        <f t="shared" si="4"/>
        <v>122099</v>
      </c>
      <c r="V20" s="33">
        <f t="shared" si="4"/>
        <v>60218</v>
      </c>
      <c r="W20" s="34">
        <f t="shared" si="4"/>
        <v>62087</v>
      </c>
    </row>
    <row r="21" spans="1:23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23" ht="13.8" thickBot="1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23" ht="13.8" thickBot="1" x14ac:dyDescent="0.3">
      <c r="A23" s="23" t="s">
        <v>24</v>
      </c>
      <c r="B23" s="119" t="s">
        <v>170</v>
      </c>
      <c r="C23" s="96" t="s">
        <v>171</v>
      </c>
      <c r="D23" s="97" t="s">
        <v>168</v>
      </c>
      <c r="E23" s="105">
        <v>45839</v>
      </c>
      <c r="F23" s="95">
        <v>45474</v>
      </c>
      <c r="G23" s="95">
        <v>45108</v>
      </c>
      <c r="H23" s="95">
        <v>44743</v>
      </c>
      <c r="I23" s="95">
        <v>44378</v>
      </c>
      <c r="J23" s="95">
        <v>44013</v>
      </c>
      <c r="K23" s="95">
        <v>43647</v>
      </c>
      <c r="L23" s="95">
        <v>43282</v>
      </c>
      <c r="M23" s="24">
        <v>42917</v>
      </c>
      <c r="N23" s="24">
        <v>42552</v>
      </c>
      <c r="O23" s="24">
        <v>42186</v>
      </c>
      <c r="P23" s="24">
        <v>41821</v>
      </c>
      <c r="Q23" s="24">
        <v>41456</v>
      </c>
      <c r="R23" s="24">
        <v>41091</v>
      </c>
      <c r="S23" s="24">
        <v>40725</v>
      </c>
      <c r="T23" s="24">
        <v>40360</v>
      </c>
      <c r="U23" s="24">
        <v>39995</v>
      </c>
      <c r="V23" s="24">
        <v>39630</v>
      </c>
      <c r="W23" s="25">
        <v>39264</v>
      </c>
    </row>
    <row r="24" spans="1:23" x14ac:dyDescent="0.25">
      <c r="A24" s="20" t="s">
        <v>104</v>
      </c>
      <c r="B24" s="26" t="str">
        <f t="shared" ref="B24:B29" si="5">IFERROR(((E24-F24)/F24),"")</f>
        <v/>
      </c>
      <c r="C24" s="45"/>
      <c r="D24" s="1">
        <v>0</v>
      </c>
      <c r="E24" s="106"/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28"/>
    </row>
    <row r="25" spans="1:23" x14ac:dyDescent="0.25">
      <c r="A25" s="20" t="s">
        <v>7</v>
      </c>
      <c r="B25" s="26" t="str">
        <f t="shared" si="5"/>
        <v/>
      </c>
      <c r="C25" s="45"/>
      <c r="D25" s="1">
        <v>0</v>
      </c>
      <c r="E25" s="106"/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28"/>
    </row>
    <row r="26" spans="1:23" x14ac:dyDescent="0.25">
      <c r="A26" s="20" t="s">
        <v>105</v>
      </c>
      <c r="B26" s="26" t="str">
        <f t="shared" si="5"/>
        <v/>
      </c>
      <c r="C26" s="45"/>
      <c r="D26" s="1">
        <v>0</v>
      </c>
      <c r="E26" s="106"/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28"/>
    </row>
    <row r="27" spans="1:23" x14ac:dyDescent="0.25">
      <c r="A27" s="20" t="s">
        <v>29</v>
      </c>
      <c r="B27" s="26" t="str">
        <f t="shared" si="5"/>
        <v/>
      </c>
      <c r="C27" s="45"/>
      <c r="D27" s="1">
        <v>0</v>
      </c>
      <c r="E27" s="106"/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28"/>
    </row>
    <row r="28" spans="1:23" ht="13.8" thickBot="1" x14ac:dyDescent="0.3">
      <c r="A28" s="29" t="s">
        <v>59</v>
      </c>
      <c r="B28" s="27" t="str">
        <f t="shared" si="5"/>
        <v/>
      </c>
      <c r="C28" s="46"/>
      <c r="D28" s="10">
        <v>0</v>
      </c>
      <c r="E28" s="107"/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30"/>
    </row>
    <row r="29" spans="1:23" ht="13.8" thickBot="1" x14ac:dyDescent="0.3">
      <c r="A29" s="31" t="s">
        <v>22</v>
      </c>
      <c r="B29" s="32" t="str">
        <f t="shared" si="5"/>
        <v/>
      </c>
      <c r="C29" s="124"/>
      <c r="D29" s="33">
        <v>0</v>
      </c>
      <c r="E29" s="104">
        <f>SUM(E24:E28)</f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f>SUM(T24:T28)</f>
        <v>0</v>
      </c>
      <c r="U29" s="33">
        <f>SUM(U24:U28)</f>
        <v>0</v>
      </c>
      <c r="V29" s="33">
        <f>SUM(V24:V28)</f>
        <v>0</v>
      </c>
      <c r="W29" s="34">
        <f>SUM(W24:W28)</f>
        <v>0</v>
      </c>
    </row>
    <row r="30" spans="1:23" x14ac:dyDescent="0.25">
      <c r="B30" s="47" t="s">
        <v>167</v>
      </c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5"/>
      <c r="W44" s="1"/>
      <c r="X44" s="1"/>
    </row>
    <row r="45" spans="22:24" ht="17.399999999999999" x14ac:dyDescent="0.3">
      <c r="V45" s="6"/>
      <c r="W45" s="1"/>
      <c r="X45" s="1"/>
    </row>
    <row r="46" spans="22:24" ht="18" x14ac:dyDescent="0.35">
      <c r="V46" s="7"/>
      <c r="W46" s="2"/>
      <c r="X46" s="2"/>
    </row>
  </sheetData>
  <conditionalFormatting sqref="E1">
    <cfRule type="expression" dxfId="13" priority="2">
      <formula>ISBLANK(XFD1)=FALSE</formula>
    </cfRule>
  </conditionalFormatting>
  <conditionalFormatting sqref="E23">
    <cfRule type="expression" dxfId="12" priority="1">
      <formula>ISBLANK(XFD23)=FALSE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43"/>
  <sheetViews>
    <sheetView workbookViewId="0"/>
  </sheetViews>
  <sheetFormatPr defaultColWidth="9.109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3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3" x14ac:dyDescent="0.25">
      <c r="A2" s="39" t="s">
        <v>4</v>
      </c>
      <c r="B2" s="123" t="str">
        <f t="shared" ref="B2:B18" si="0">IFERROR(((E2-F2)/F2),"")</f>
        <v/>
      </c>
      <c r="C2" s="45">
        <v>0</v>
      </c>
      <c r="D2" s="1">
        <v>0</v>
      </c>
      <c r="E2" s="106"/>
      <c r="F2" s="1"/>
      <c r="G2" s="1"/>
      <c r="H2" s="1"/>
      <c r="I2" s="1"/>
      <c r="J2" s="1"/>
      <c r="K2" s="1"/>
      <c r="L2" s="1"/>
      <c r="M2" s="1"/>
      <c r="N2" s="1">
        <v>0</v>
      </c>
      <c r="O2" s="1">
        <v>0</v>
      </c>
      <c r="P2" s="1">
        <v>0</v>
      </c>
      <c r="Q2" s="1">
        <v>0</v>
      </c>
      <c r="R2" s="1"/>
      <c r="S2" s="1"/>
      <c r="T2" s="1">
        <v>0</v>
      </c>
      <c r="U2" s="1">
        <v>0</v>
      </c>
      <c r="V2" s="1">
        <v>0</v>
      </c>
      <c r="W2" s="28">
        <v>0</v>
      </c>
    </row>
    <row r="3" spans="1:23" x14ac:dyDescent="0.25">
      <c r="A3" s="39" t="s">
        <v>32</v>
      </c>
      <c r="B3" s="123" t="str">
        <f t="shared" si="0"/>
        <v/>
      </c>
      <c r="C3" s="45">
        <v>0</v>
      </c>
      <c r="D3" s="1">
        <v>0</v>
      </c>
      <c r="E3" s="106"/>
      <c r="F3" s="1"/>
      <c r="G3" s="1"/>
      <c r="H3" s="1"/>
      <c r="I3" s="1"/>
      <c r="J3" s="1"/>
      <c r="K3" s="1"/>
      <c r="L3" s="1"/>
      <c r="M3" s="1"/>
      <c r="N3" s="1">
        <v>0</v>
      </c>
      <c r="O3" s="1">
        <v>0</v>
      </c>
      <c r="P3" s="1">
        <v>0</v>
      </c>
      <c r="Q3" s="1">
        <v>0</v>
      </c>
      <c r="R3" s="1"/>
      <c r="S3" s="1"/>
      <c r="T3" s="1">
        <v>0</v>
      </c>
      <c r="U3" s="1">
        <v>0</v>
      </c>
      <c r="V3" s="1">
        <v>0</v>
      </c>
      <c r="W3" s="28">
        <v>0</v>
      </c>
    </row>
    <row r="4" spans="1:23" x14ac:dyDescent="0.25">
      <c r="A4" s="20" t="s">
        <v>2</v>
      </c>
      <c r="B4" s="123" t="str">
        <f t="shared" si="0"/>
        <v/>
      </c>
      <c r="C4" s="45">
        <v>0</v>
      </c>
      <c r="D4" s="1">
        <v>0</v>
      </c>
      <c r="E4" s="106"/>
      <c r="F4" s="1"/>
      <c r="G4" s="1"/>
      <c r="H4" s="1"/>
      <c r="I4" s="1"/>
      <c r="J4" s="1"/>
      <c r="K4" s="1"/>
      <c r="L4" s="1"/>
      <c r="M4" s="1"/>
      <c r="N4" s="1">
        <v>0</v>
      </c>
      <c r="O4" s="1">
        <v>0</v>
      </c>
      <c r="P4" s="1">
        <v>0</v>
      </c>
      <c r="Q4" s="1">
        <v>0</v>
      </c>
      <c r="R4" s="1"/>
      <c r="S4" s="1"/>
      <c r="T4" s="1">
        <v>0</v>
      </c>
      <c r="U4" s="1">
        <v>0</v>
      </c>
      <c r="V4" s="1">
        <v>0</v>
      </c>
      <c r="W4" s="28">
        <v>0</v>
      </c>
    </row>
    <row r="5" spans="1:23" x14ac:dyDescent="0.25">
      <c r="A5" s="20" t="s">
        <v>9</v>
      </c>
      <c r="B5" s="123">
        <f t="shared" si="0"/>
        <v>-1</v>
      </c>
      <c r="C5" s="45">
        <v>0</v>
      </c>
      <c r="D5" s="1">
        <v>-1500</v>
      </c>
      <c r="E5" s="106">
        <v>0</v>
      </c>
      <c r="F5" s="1">
        <v>500</v>
      </c>
      <c r="G5" s="1">
        <v>0</v>
      </c>
      <c r="H5" s="1"/>
      <c r="I5" s="1"/>
      <c r="J5" s="1"/>
      <c r="K5" s="1">
        <v>0</v>
      </c>
      <c r="L5" s="1"/>
      <c r="M5" s="1">
        <v>0</v>
      </c>
      <c r="N5" s="1">
        <v>0</v>
      </c>
      <c r="O5" s="1">
        <v>0</v>
      </c>
      <c r="P5" s="1">
        <v>0</v>
      </c>
      <c r="Q5" s="1">
        <v>0</v>
      </c>
      <c r="R5" s="1"/>
      <c r="S5" s="1"/>
      <c r="T5" s="1">
        <v>3000</v>
      </c>
      <c r="U5" s="1">
        <v>0</v>
      </c>
      <c r="V5" s="1">
        <v>0</v>
      </c>
      <c r="W5" s="28">
        <v>0</v>
      </c>
    </row>
    <row r="6" spans="1:23" x14ac:dyDescent="0.25">
      <c r="A6" s="20" t="s">
        <v>14</v>
      </c>
      <c r="B6" s="123">
        <f t="shared" si="0"/>
        <v>0</v>
      </c>
      <c r="C6" s="45">
        <v>-500</v>
      </c>
      <c r="D6" s="1">
        <v>-500</v>
      </c>
      <c r="E6" s="106">
        <v>500</v>
      </c>
      <c r="F6" s="1">
        <v>500</v>
      </c>
      <c r="G6" s="1">
        <v>1000</v>
      </c>
      <c r="H6" s="1">
        <v>5000</v>
      </c>
      <c r="I6" s="1">
        <v>10000</v>
      </c>
      <c r="J6" s="1"/>
      <c r="K6" s="1">
        <v>10000</v>
      </c>
      <c r="L6" s="1">
        <v>8000</v>
      </c>
      <c r="M6" s="1">
        <v>8000</v>
      </c>
      <c r="N6" s="1">
        <v>5000</v>
      </c>
      <c r="O6" s="1">
        <v>2000</v>
      </c>
      <c r="P6" s="1">
        <v>1000</v>
      </c>
      <c r="Q6" s="1">
        <v>1000</v>
      </c>
      <c r="R6" s="1">
        <v>1000</v>
      </c>
      <c r="S6" s="1"/>
      <c r="T6" s="1">
        <v>0</v>
      </c>
      <c r="U6" s="1">
        <v>0</v>
      </c>
      <c r="V6" s="1">
        <v>0</v>
      </c>
      <c r="W6" s="28">
        <v>0</v>
      </c>
    </row>
    <row r="7" spans="1:23" x14ac:dyDescent="0.25">
      <c r="A7" s="20" t="s">
        <v>3</v>
      </c>
      <c r="B7" s="123">
        <f t="shared" si="0"/>
        <v>-0.7142857142857143</v>
      </c>
      <c r="C7" s="45">
        <v>-30000</v>
      </c>
      <c r="D7" s="1">
        <v>-40000</v>
      </c>
      <c r="E7" s="106">
        <v>10000</v>
      </c>
      <c r="F7" s="1">
        <v>35000</v>
      </c>
      <c r="G7" s="1">
        <v>6000</v>
      </c>
      <c r="H7" s="1">
        <v>15000</v>
      </c>
      <c r="I7" s="1">
        <v>25000</v>
      </c>
      <c r="J7" s="1">
        <v>1000</v>
      </c>
      <c r="K7" s="1">
        <v>7000</v>
      </c>
      <c r="L7" s="1">
        <v>5000</v>
      </c>
      <c r="M7" s="71">
        <v>7000</v>
      </c>
      <c r="N7" s="71">
        <v>10000</v>
      </c>
      <c r="O7" s="71">
        <v>6000</v>
      </c>
      <c r="P7" s="71">
        <v>8000</v>
      </c>
      <c r="Q7" s="71">
        <v>1000</v>
      </c>
      <c r="R7" s="71"/>
      <c r="S7" s="71"/>
      <c r="T7" s="71">
        <v>6000</v>
      </c>
      <c r="U7" s="71">
        <v>0</v>
      </c>
      <c r="V7" s="1">
        <v>0</v>
      </c>
      <c r="W7" s="28">
        <v>0</v>
      </c>
    </row>
    <row r="8" spans="1:23" x14ac:dyDescent="0.25">
      <c r="A8" s="20" t="s">
        <v>10</v>
      </c>
      <c r="B8" s="123">
        <f t="shared" si="0"/>
        <v>-0.66666666666666663</v>
      </c>
      <c r="C8" s="45">
        <v>-20000</v>
      </c>
      <c r="D8" s="1">
        <v>-20000</v>
      </c>
      <c r="E8" s="106">
        <v>5000</v>
      </c>
      <c r="F8" s="1">
        <v>15000</v>
      </c>
      <c r="G8" s="1">
        <v>25000</v>
      </c>
      <c r="H8" s="1">
        <v>45000</v>
      </c>
      <c r="I8" s="1">
        <v>50000</v>
      </c>
      <c r="J8" s="1">
        <v>2000</v>
      </c>
      <c r="K8" s="1">
        <v>50000</v>
      </c>
      <c r="L8" s="1">
        <v>25000</v>
      </c>
      <c r="M8" s="71">
        <v>25000</v>
      </c>
      <c r="N8" s="71">
        <v>25000</v>
      </c>
      <c r="O8" s="71">
        <v>10000</v>
      </c>
      <c r="P8" s="71">
        <v>12000</v>
      </c>
      <c r="Q8" s="71">
        <v>6000</v>
      </c>
      <c r="R8" s="71">
        <v>7000</v>
      </c>
      <c r="S8" s="71"/>
      <c r="T8" s="71">
        <v>10000</v>
      </c>
      <c r="U8" s="71">
        <v>4000</v>
      </c>
      <c r="V8" s="1">
        <v>0</v>
      </c>
      <c r="W8" s="28">
        <v>0</v>
      </c>
    </row>
    <row r="9" spans="1:23" x14ac:dyDescent="0.25">
      <c r="A9" s="20" t="s">
        <v>26</v>
      </c>
      <c r="B9" s="123">
        <f t="shared" si="0"/>
        <v>-1</v>
      </c>
      <c r="C9" s="45">
        <v>-1000</v>
      </c>
      <c r="D9" s="1">
        <v>-3000</v>
      </c>
      <c r="E9" s="106"/>
      <c r="F9" s="1">
        <v>1000</v>
      </c>
      <c r="G9" s="1">
        <v>3000</v>
      </c>
      <c r="H9" s="1">
        <v>5000</v>
      </c>
      <c r="I9" s="1">
        <v>5000</v>
      </c>
      <c r="J9" s="1"/>
      <c r="K9" s="1">
        <v>4000</v>
      </c>
      <c r="L9" s="1">
        <v>1000</v>
      </c>
      <c r="M9" s="71">
        <v>6000</v>
      </c>
      <c r="N9" s="71">
        <v>6000</v>
      </c>
      <c r="O9" s="71">
        <v>4000</v>
      </c>
      <c r="P9" s="71">
        <v>5000</v>
      </c>
      <c r="Q9" s="71">
        <v>2000</v>
      </c>
      <c r="R9" s="71">
        <v>1000</v>
      </c>
      <c r="S9" s="71"/>
      <c r="T9" s="71">
        <v>1000</v>
      </c>
      <c r="U9" s="71">
        <v>0</v>
      </c>
      <c r="V9" s="1">
        <v>0</v>
      </c>
      <c r="W9" s="28">
        <v>0</v>
      </c>
    </row>
    <row r="10" spans="1:23" x14ac:dyDescent="0.25">
      <c r="A10" s="20" t="s">
        <v>153</v>
      </c>
      <c r="B10" s="123">
        <f t="shared" si="0"/>
        <v>-1</v>
      </c>
      <c r="C10" s="45">
        <v>-1000</v>
      </c>
      <c r="D10" s="1">
        <v>-3000</v>
      </c>
      <c r="E10" s="106"/>
      <c r="F10" s="1">
        <v>1000</v>
      </c>
      <c r="G10" s="1">
        <v>2000</v>
      </c>
      <c r="H10" s="1">
        <v>2000</v>
      </c>
      <c r="I10" s="1">
        <v>5000</v>
      </c>
      <c r="J10" s="1"/>
      <c r="K10" s="1">
        <v>4000</v>
      </c>
      <c r="L10" s="1">
        <v>4000</v>
      </c>
      <c r="M10" s="71">
        <v>4000</v>
      </c>
      <c r="N10" s="71">
        <v>5000</v>
      </c>
      <c r="O10" s="71">
        <v>5000</v>
      </c>
      <c r="P10" s="71">
        <v>5000</v>
      </c>
      <c r="Q10" s="71">
        <v>2000</v>
      </c>
      <c r="R10" s="71">
        <v>1000</v>
      </c>
      <c r="S10" s="71"/>
      <c r="T10" s="71">
        <v>0</v>
      </c>
      <c r="U10" s="71">
        <v>0</v>
      </c>
      <c r="V10" s="1">
        <v>0</v>
      </c>
      <c r="W10" s="28">
        <v>0</v>
      </c>
    </row>
    <row r="11" spans="1:23" x14ac:dyDescent="0.25">
      <c r="A11" s="64" t="s">
        <v>33</v>
      </c>
      <c r="B11" s="123" t="str">
        <f t="shared" si="0"/>
        <v/>
      </c>
      <c r="C11" s="45">
        <v>0</v>
      </c>
      <c r="D11" s="1">
        <v>0</v>
      </c>
      <c r="E11" s="106"/>
      <c r="F11" s="1"/>
      <c r="G11" s="1"/>
      <c r="H11" s="1"/>
      <c r="I11" s="1"/>
      <c r="J11" s="1"/>
      <c r="K11" s="1"/>
      <c r="L11" s="1"/>
      <c r="M11" s="71"/>
      <c r="N11" s="71">
        <v>0</v>
      </c>
      <c r="O11" s="71"/>
      <c r="P11" s="71"/>
      <c r="Q11" s="71"/>
      <c r="R11" s="71"/>
      <c r="S11" s="71"/>
      <c r="T11" s="71">
        <v>1000</v>
      </c>
      <c r="U11" s="71">
        <v>0</v>
      </c>
      <c r="V11" s="1">
        <v>0</v>
      </c>
      <c r="W11" s="28">
        <v>0</v>
      </c>
    </row>
    <row r="12" spans="1:23" x14ac:dyDescent="0.25">
      <c r="A12" s="64" t="s">
        <v>13</v>
      </c>
      <c r="B12" s="123">
        <f t="shared" si="0"/>
        <v>-1</v>
      </c>
      <c r="C12" s="45">
        <v>-1000</v>
      </c>
      <c r="D12" s="1">
        <v>-2000</v>
      </c>
      <c r="E12" s="106"/>
      <c r="F12" s="1">
        <v>1000</v>
      </c>
      <c r="G12" s="1"/>
      <c r="H12" s="1"/>
      <c r="I12" s="1"/>
      <c r="J12" s="1"/>
      <c r="K12" s="1"/>
      <c r="L12" s="1"/>
      <c r="M12" s="71"/>
      <c r="N12" s="71">
        <v>0</v>
      </c>
      <c r="O12" s="71"/>
      <c r="P12" s="71"/>
      <c r="Q12" s="71"/>
      <c r="R12" s="71"/>
      <c r="S12" s="71"/>
      <c r="T12" s="71">
        <v>0</v>
      </c>
      <c r="U12" s="71">
        <v>0</v>
      </c>
      <c r="V12" s="1">
        <v>0</v>
      </c>
      <c r="W12" s="28">
        <v>0</v>
      </c>
    </row>
    <row r="13" spans="1:23" x14ac:dyDescent="0.25">
      <c r="A13" s="64" t="s">
        <v>19</v>
      </c>
      <c r="B13" s="123">
        <f t="shared" si="0"/>
        <v>-1</v>
      </c>
      <c r="C13" s="45">
        <v>0</v>
      </c>
      <c r="D13" s="1">
        <v>-1000</v>
      </c>
      <c r="E13" s="106"/>
      <c r="F13" s="1">
        <v>1000</v>
      </c>
      <c r="G13" s="1"/>
      <c r="H13" s="1"/>
      <c r="I13" s="1"/>
      <c r="J13" s="1"/>
      <c r="K13" s="1"/>
      <c r="L13" s="1"/>
      <c r="M13" s="71"/>
      <c r="N13" s="71">
        <v>0</v>
      </c>
      <c r="O13" s="71"/>
      <c r="P13" s="71"/>
      <c r="Q13" s="71"/>
      <c r="R13" s="71"/>
      <c r="S13" s="71"/>
      <c r="T13" s="71">
        <v>0</v>
      </c>
      <c r="U13" s="71">
        <v>0</v>
      </c>
      <c r="V13" s="1">
        <v>0</v>
      </c>
      <c r="W13" s="28">
        <v>0</v>
      </c>
    </row>
    <row r="14" spans="1:23" x14ac:dyDescent="0.25">
      <c r="A14" s="64" t="s">
        <v>134</v>
      </c>
      <c r="B14" s="123">
        <f t="shared" si="0"/>
        <v>-0.33333333333333331</v>
      </c>
      <c r="C14" s="45">
        <v>-15000</v>
      </c>
      <c r="D14" s="1">
        <v>-20000</v>
      </c>
      <c r="E14" s="106">
        <v>10000</v>
      </c>
      <c r="F14" s="1">
        <v>15000</v>
      </c>
      <c r="G14" s="1">
        <v>28000</v>
      </c>
      <c r="H14" s="1">
        <v>15000</v>
      </c>
      <c r="I14" s="1">
        <v>15000</v>
      </c>
      <c r="J14" s="1">
        <v>5000</v>
      </c>
      <c r="K14" s="1">
        <v>4000</v>
      </c>
      <c r="L14" s="1"/>
      <c r="M14" s="71"/>
      <c r="N14" s="71"/>
      <c r="O14" s="71"/>
      <c r="P14" s="71"/>
      <c r="Q14" s="71"/>
      <c r="R14" s="71"/>
      <c r="S14" s="71"/>
      <c r="T14" s="71"/>
      <c r="U14" s="71"/>
      <c r="V14" s="1"/>
      <c r="W14" s="28"/>
    </row>
    <row r="15" spans="1:23" x14ac:dyDescent="0.25">
      <c r="A15" s="64" t="s">
        <v>90</v>
      </c>
      <c r="B15" s="123">
        <f t="shared" si="0"/>
        <v>-1</v>
      </c>
      <c r="C15" s="45">
        <v>-5000</v>
      </c>
      <c r="D15" s="1">
        <v>-7000</v>
      </c>
      <c r="E15" s="106"/>
      <c r="F15" s="1">
        <v>1000</v>
      </c>
      <c r="G15" s="1">
        <v>4000</v>
      </c>
      <c r="H15" s="1">
        <v>5000</v>
      </c>
      <c r="I15" s="1">
        <v>8000</v>
      </c>
      <c r="J15" s="1"/>
      <c r="K15" s="1">
        <v>20000</v>
      </c>
      <c r="L15" s="1">
        <v>3000</v>
      </c>
      <c r="M15" s="71">
        <v>3000</v>
      </c>
      <c r="N15" s="71">
        <v>3000</v>
      </c>
      <c r="O15" s="71">
        <v>1000</v>
      </c>
      <c r="P15" s="71">
        <v>1000</v>
      </c>
      <c r="Q15" s="71">
        <v>1000</v>
      </c>
      <c r="R15" s="71"/>
      <c r="S15" s="71"/>
      <c r="T15" s="71">
        <v>2000</v>
      </c>
      <c r="U15" s="71">
        <v>0</v>
      </c>
      <c r="V15" s="1">
        <v>0</v>
      </c>
      <c r="W15" s="28">
        <v>0</v>
      </c>
    </row>
    <row r="16" spans="1:23" x14ac:dyDescent="0.25">
      <c r="A16" s="64" t="s">
        <v>34</v>
      </c>
      <c r="B16" s="123" t="str">
        <f t="shared" si="0"/>
        <v/>
      </c>
      <c r="C16" s="45">
        <v>0</v>
      </c>
      <c r="D16" s="1">
        <v>0</v>
      </c>
      <c r="E16" s="106"/>
      <c r="F16" s="1"/>
      <c r="G16" s="1"/>
      <c r="H16" s="1"/>
      <c r="I16" s="1"/>
      <c r="J16" s="1"/>
      <c r="K16" s="1"/>
      <c r="L16" s="1"/>
      <c r="M16" s="71"/>
      <c r="N16" s="71">
        <v>0</v>
      </c>
      <c r="O16" s="71"/>
      <c r="P16" s="71"/>
      <c r="Q16" s="71"/>
      <c r="R16" s="71"/>
      <c r="S16" s="71"/>
      <c r="T16" s="71">
        <v>0</v>
      </c>
      <c r="U16" s="71">
        <v>0</v>
      </c>
      <c r="V16" s="1">
        <v>0</v>
      </c>
      <c r="W16" s="28">
        <v>0</v>
      </c>
    </row>
    <row r="17" spans="1:24" ht="13.8" thickBot="1" x14ac:dyDescent="0.3">
      <c r="A17" s="21" t="s">
        <v>59</v>
      </c>
      <c r="B17" s="123">
        <f t="shared" si="0"/>
        <v>-1</v>
      </c>
      <c r="C17" s="45">
        <v>-5000</v>
      </c>
      <c r="D17" s="1">
        <v>-4000</v>
      </c>
      <c r="E17" s="106"/>
      <c r="F17" s="10">
        <v>1000</v>
      </c>
      <c r="G17" s="10">
        <v>1000</v>
      </c>
      <c r="H17" s="10">
        <v>2000</v>
      </c>
      <c r="I17" s="10">
        <v>15000</v>
      </c>
      <c r="J17" s="10">
        <v>3000</v>
      </c>
      <c r="K17" s="10">
        <v>5000</v>
      </c>
      <c r="L17" s="10">
        <v>0</v>
      </c>
      <c r="M17" s="10">
        <v>4000</v>
      </c>
      <c r="N17" s="72">
        <v>5000</v>
      </c>
      <c r="O17" s="72">
        <v>2000</v>
      </c>
      <c r="P17" s="72">
        <v>5000</v>
      </c>
      <c r="Q17" s="72">
        <v>1000</v>
      </c>
      <c r="R17" s="72">
        <v>1000</v>
      </c>
      <c r="S17" s="72"/>
      <c r="T17" s="72">
        <v>2000</v>
      </c>
      <c r="U17" s="72">
        <v>1000</v>
      </c>
      <c r="V17" s="10">
        <v>0</v>
      </c>
      <c r="W17" s="30">
        <v>0</v>
      </c>
    </row>
    <row r="18" spans="1:24" s="8" customFormat="1" ht="13.8" thickBot="1" x14ac:dyDescent="0.3">
      <c r="A18" s="23" t="s">
        <v>22</v>
      </c>
      <c r="B18" s="109">
        <f t="shared" si="0"/>
        <v>-0.64583333333333337</v>
      </c>
      <c r="C18" s="63">
        <v>-78500</v>
      </c>
      <c r="D18" s="42">
        <v>-102000</v>
      </c>
      <c r="E18" s="108">
        <f t="shared" ref="E18" si="1">SUM(E2:E17)</f>
        <v>25500</v>
      </c>
      <c r="F18" s="33">
        <f t="shared" ref="F18:K18" si="2">SUM(F5:F17)</f>
        <v>72000</v>
      </c>
      <c r="G18" s="33">
        <f t="shared" si="2"/>
        <v>70000</v>
      </c>
      <c r="H18" s="33">
        <f t="shared" si="2"/>
        <v>94000</v>
      </c>
      <c r="I18" s="33">
        <f t="shared" si="2"/>
        <v>133000</v>
      </c>
      <c r="J18" s="33">
        <f t="shared" si="2"/>
        <v>11000</v>
      </c>
      <c r="K18" s="33">
        <f t="shared" si="2"/>
        <v>104000</v>
      </c>
      <c r="L18" s="33">
        <f>SUM(L2:L17)</f>
        <v>46000</v>
      </c>
      <c r="M18" s="33">
        <f t="shared" ref="M18:R18" si="3">SUM(M2:M17)</f>
        <v>57000</v>
      </c>
      <c r="N18" s="33">
        <f t="shared" si="3"/>
        <v>59000</v>
      </c>
      <c r="O18" s="33">
        <f t="shared" si="3"/>
        <v>30000</v>
      </c>
      <c r="P18" s="33">
        <f t="shared" si="3"/>
        <v>37000</v>
      </c>
      <c r="Q18" s="33">
        <f t="shared" si="3"/>
        <v>14000</v>
      </c>
      <c r="R18" s="33">
        <f t="shared" si="3"/>
        <v>11000</v>
      </c>
      <c r="S18" s="33"/>
      <c r="T18" s="33">
        <f>SUM(T2:T17)</f>
        <v>25000</v>
      </c>
      <c r="U18" s="33">
        <f>SUM(U2:U17)</f>
        <v>5000</v>
      </c>
      <c r="V18" s="33">
        <f>SUM(V2:V17)</f>
        <v>0</v>
      </c>
      <c r="W18" s="34">
        <f>SUM(W2:W17)</f>
        <v>0</v>
      </c>
    </row>
    <row r="19" spans="1:24" x14ac:dyDescent="0.25">
      <c r="B19" s="35"/>
      <c r="C19" s="35"/>
      <c r="F19" s="35"/>
      <c r="G19" s="35"/>
      <c r="H19" s="35"/>
      <c r="I19" s="35"/>
      <c r="J19" s="35"/>
      <c r="K19" s="35"/>
      <c r="L19" s="35"/>
      <c r="M19" s="35"/>
    </row>
    <row r="20" spans="1:24" ht="13.8" thickBot="1" x14ac:dyDescent="0.3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24" ht="13.8" thickBot="1" x14ac:dyDescent="0.3">
      <c r="A21" s="23" t="s">
        <v>24</v>
      </c>
      <c r="B21" s="119" t="s">
        <v>170</v>
      </c>
      <c r="C21" s="96" t="s">
        <v>171</v>
      </c>
      <c r="D21" s="97" t="s">
        <v>168</v>
      </c>
      <c r="E21" s="105">
        <v>45839</v>
      </c>
      <c r="F21" s="95">
        <v>45474</v>
      </c>
      <c r="G21" s="95">
        <v>45108</v>
      </c>
      <c r="H21" s="95">
        <v>44743</v>
      </c>
      <c r="I21" s="95">
        <v>44378</v>
      </c>
      <c r="J21" s="95">
        <v>44013</v>
      </c>
      <c r="K21" s="95">
        <v>43647</v>
      </c>
      <c r="L21" s="95">
        <v>43282</v>
      </c>
      <c r="M21" s="24">
        <v>42917</v>
      </c>
      <c r="N21" s="24">
        <v>42552</v>
      </c>
      <c r="O21" s="24">
        <v>42186</v>
      </c>
      <c r="P21" s="24">
        <v>41821</v>
      </c>
      <c r="Q21" s="24">
        <v>41456</v>
      </c>
      <c r="R21" s="24">
        <v>41091</v>
      </c>
      <c r="S21" s="24">
        <v>40725</v>
      </c>
      <c r="T21" s="24">
        <v>40360</v>
      </c>
      <c r="U21" s="24">
        <v>39995</v>
      </c>
      <c r="V21" s="24">
        <v>39630</v>
      </c>
      <c r="W21" s="25">
        <v>39264</v>
      </c>
    </row>
    <row r="22" spans="1:24" x14ac:dyDescent="0.25">
      <c r="A22" s="20" t="s">
        <v>7</v>
      </c>
      <c r="B22" s="26" t="str">
        <f t="shared" ref="B22:B25" si="4">IFERROR(((E22-F22)/F22),"")</f>
        <v/>
      </c>
      <c r="C22" s="45"/>
      <c r="D22" s="1">
        <v>0</v>
      </c>
      <c r="E22" s="106"/>
      <c r="F22" s="1"/>
      <c r="G22" s="1"/>
      <c r="H22" s="1"/>
      <c r="I22" s="1"/>
      <c r="J22" s="1">
        <v>0</v>
      </c>
      <c r="K22" s="1">
        <v>0</v>
      </c>
      <c r="L22" s="1"/>
      <c r="M22" s="1">
        <v>0</v>
      </c>
      <c r="N22" s="1">
        <v>0</v>
      </c>
      <c r="O22" s="1"/>
      <c r="P22" s="1"/>
      <c r="Q22" s="1"/>
      <c r="R22" s="1"/>
      <c r="S22" s="1"/>
      <c r="T22" s="1"/>
      <c r="U22" s="1"/>
      <c r="V22" s="1"/>
      <c r="W22" s="28"/>
    </row>
    <row r="23" spans="1:24" x14ac:dyDescent="0.25">
      <c r="A23" s="39" t="s">
        <v>94</v>
      </c>
      <c r="B23" s="123" t="str">
        <f t="shared" si="4"/>
        <v/>
      </c>
      <c r="C23" s="45"/>
      <c r="D23" s="1">
        <v>0</v>
      </c>
      <c r="E23" s="106"/>
      <c r="F23" s="1"/>
      <c r="G23" s="1"/>
      <c r="H23" s="1"/>
      <c r="I23" s="1"/>
      <c r="J23" s="1">
        <v>0</v>
      </c>
      <c r="K23" s="1">
        <v>0</v>
      </c>
      <c r="L23" s="1"/>
      <c r="M23" s="1">
        <v>0</v>
      </c>
      <c r="N23" s="1">
        <v>0</v>
      </c>
      <c r="O23" s="1"/>
      <c r="P23" s="1"/>
      <c r="Q23" s="1"/>
      <c r="R23" s="1"/>
      <c r="S23" s="1"/>
      <c r="T23" s="1"/>
      <c r="U23" s="1"/>
      <c r="V23" s="1"/>
      <c r="W23" s="28"/>
    </row>
    <row r="24" spans="1:24" ht="13.8" thickBot="1" x14ac:dyDescent="0.3">
      <c r="A24" s="29" t="s">
        <v>59</v>
      </c>
      <c r="B24" s="27" t="str">
        <f t="shared" si="4"/>
        <v/>
      </c>
      <c r="C24" s="46"/>
      <c r="D24" s="10">
        <v>0</v>
      </c>
      <c r="E24" s="107"/>
      <c r="F24" s="10"/>
      <c r="G24" s="10"/>
      <c r="H24" s="10"/>
      <c r="I24" s="10"/>
      <c r="J24" s="10">
        <v>0</v>
      </c>
      <c r="K24" s="10">
        <v>0</v>
      </c>
      <c r="L24" s="10"/>
      <c r="M24" s="10">
        <v>0</v>
      </c>
      <c r="N24" s="10">
        <v>0</v>
      </c>
      <c r="O24" s="10"/>
      <c r="P24" s="10"/>
      <c r="Q24" s="10"/>
      <c r="R24" s="10"/>
      <c r="S24" s="10"/>
      <c r="T24" s="10"/>
      <c r="U24" s="10"/>
      <c r="V24" s="10"/>
      <c r="W24" s="30"/>
    </row>
    <row r="25" spans="1:24" s="8" customFormat="1" ht="13.8" thickBot="1" x14ac:dyDescent="0.3">
      <c r="A25" s="31" t="s">
        <v>22</v>
      </c>
      <c r="B25" s="32" t="str">
        <f t="shared" si="4"/>
        <v/>
      </c>
      <c r="C25" s="124"/>
      <c r="D25" s="33">
        <v>0</v>
      </c>
      <c r="E25" s="104">
        <f>SUM(E22:E24)</f>
        <v>0</v>
      </c>
      <c r="F25" s="33"/>
      <c r="G25" s="33"/>
      <c r="H25" s="33"/>
      <c r="I25" s="33"/>
      <c r="J25" s="33">
        <v>0</v>
      </c>
      <c r="K25" s="33">
        <v>0</v>
      </c>
      <c r="L25" s="33">
        <v>0</v>
      </c>
      <c r="M25" s="33">
        <v>0</v>
      </c>
      <c r="N25" s="33">
        <f>SUM(N22:N24)</f>
        <v>0</v>
      </c>
      <c r="O25" s="33">
        <v>0</v>
      </c>
      <c r="P25" s="33">
        <v>0</v>
      </c>
      <c r="Q25" s="33">
        <v>0</v>
      </c>
      <c r="R25" s="33">
        <v>0</v>
      </c>
      <c r="S25" s="33"/>
      <c r="T25" s="33">
        <f>SUM(T22:T24)</f>
        <v>0</v>
      </c>
      <c r="U25" s="33">
        <f>SUM(U22:U24)</f>
        <v>0</v>
      </c>
      <c r="V25" s="33">
        <f>SUM(V22:V24)</f>
        <v>0</v>
      </c>
      <c r="W25" s="34">
        <f>SUM(W22:W24)</f>
        <v>0</v>
      </c>
    </row>
    <row r="27" spans="1:24" x14ac:dyDescent="0.25">
      <c r="B27" s="3" t="s">
        <v>176</v>
      </c>
    </row>
    <row r="28" spans="1:24" x14ac:dyDescent="0.25">
      <c r="B28" s="3" t="s">
        <v>177</v>
      </c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6"/>
      <c r="W42" s="1"/>
      <c r="X42" s="1"/>
    </row>
    <row r="43" spans="22:24" ht="18" x14ac:dyDescent="0.35">
      <c r="V43" s="7"/>
      <c r="W43" s="2"/>
      <c r="X43" s="2"/>
    </row>
  </sheetData>
  <conditionalFormatting sqref="E1">
    <cfRule type="expression" dxfId="11" priority="2">
      <formula>ISBLANK(XFD1)=FALSE</formula>
    </cfRule>
  </conditionalFormatting>
  <conditionalFormatting sqref="E21">
    <cfRule type="expression" dxfId="10" priority="1">
      <formula>ISBLANK(XFD21)=FALSE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5"/>
  <sheetViews>
    <sheetView workbookViewId="0"/>
  </sheetViews>
  <sheetFormatPr defaultColWidth="9.109375" defaultRowHeight="13.2" x14ac:dyDescent="0.25"/>
  <cols>
    <col min="1" max="1" width="22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13" width="10.44140625" customWidth="1"/>
    <col min="14" max="21" width="10.109375" customWidth="1"/>
  </cols>
  <sheetData>
    <row r="1" spans="1:21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5">
        <v>39995</v>
      </c>
    </row>
    <row r="2" spans="1:21" x14ac:dyDescent="0.25">
      <c r="A2" s="39" t="s">
        <v>9</v>
      </c>
      <c r="B2" s="43" t="str">
        <f t="shared" ref="B2:B9" si="0">IFERROR(((E2-F2)/F2),"")</f>
        <v/>
      </c>
      <c r="C2" s="147"/>
      <c r="D2" s="148"/>
      <c r="E2" s="149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58"/>
    </row>
    <row r="3" spans="1:21" x14ac:dyDescent="0.25">
      <c r="A3" s="39" t="s">
        <v>148</v>
      </c>
      <c r="B3" s="43" t="str">
        <f t="shared" si="0"/>
        <v/>
      </c>
      <c r="C3" s="147"/>
      <c r="D3" s="148"/>
      <c r="E3" s="149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58"/>
    </row>
    <row r="4" spans="1:21" x14ac:dyDescent="0.25">
      <c r="A4" s="39" t="s">
        <v>26</v>
      </c>
      <c r="B4" s="43" t="str">
        <f t="shared" si="0"/>
        <v/>
      </c>
      <c r="C4" s="147"/>
      <c r="D4" s="148"/>
      <c r="E4" s="149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58"/>
    </row>
    <row r="5" spans="1:21" x14ac:dyDescent="0.25">
      <c r="A5" s="39" t="s">
        <v>25</v>
      </c>
      <c r="B5" s="43" t="str">
        <f t="shared" si="0"/>
        <v/>
      </c>
      <c r="C5" s="147"/>
      <c r="D5" s="148"/>
      <c r="E5" s="149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58"/>
    </row>
    <row r="6" spans="1:21" x14ac:dyDescent="0.25">
      <c r="A6" s="39" t="s">
        <v>19</v>
      </c>
      <c r="B6" s="43" t="str">
        <f t="shared" si="0"/>
        <v/>
      </c>
      <c r="C6" s="147"/>
      <c r="D6" s="148"/>
      <c r="E6" s="149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58"/>
    </row>
    <row r="7" spans="1:21" x14ac:dyDescent="0.25">
      <c r="A7" s="39" t="s">
        <v>89</v>
      </c>
      <c r="B7" s="43" t="str">
        <f t="shared" si="0"/>
        <v/>
      </c>
      <c r="C7" s="147"/>
      <c r="D7" s="148"/>
      <c r="E7" s="149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58"/>
    </row>
    <row r="8" spans="1:21" ht="13.8" thickBot="1" x14ac:dyDescent="0.3">
      <c r="A8" s="40" t="s">
        <v>6</v>
      </c>
      <c r="B8" s="44" t="str">
        <f t="shared" si="0"/>
        <v/>
      </c>
      <c r="C8" s="150"/>
      <c r="D8" s="151"/>
      <c r="E8" s="152"/>
      <c r="F8" s="37"/>
      <c r="G8" s="37"/>
      <c r="H8" s="37"/>
      <c r="I8" s="37"/>
      <c r="J8" s="37"/>
      <c r="K8" s="37"/>
      <c r="L8" s="37"/>
      <c r="M8" s="36"/>
      <c r="N8" s="37"/>
      <c r="O8" s="37"/>
      <c r="P8" s="37"/>
      <c r="Q8" s="37"/>
      <c r="R8" s="37"/>
      <c r="S8" s="37"/>
      <c r="T8" s="37"/>
      <c r="U8" s="58"/>
    </row>
    <row r="9" spans="1:21" ht="13.8" thickBot="1" x14ac:dyDescent="0.3">
      <c r="A9" s="41" t="s">
        <v>93</v>
      </c>
      <c r="B9" s="70" t="str">
        <f t="shared" si="0"/>
        <v/>
      </c>
      <c r="C9" s="153"/>
      <c r="D9" s="154"/>
      <c r="E9" s="155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82"/>
    </row>
    <row r="11" spans="1:21" ht="13.8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3.8" thickBot="1" x14ac:dyDescent="0.3">
      <c r="A12" s="48" t="s">
        <v>92</v>
      </c>
      <c r="B12" s="119" t="s">
        <v>170</v>
      </c>
      <c r="C12" s="96" t="s">
        <v>171</v>
      </c>
      <c r="D12" s="97" t="s">
        <v>168</v>
      </c>
      <c r="E12" s="105">
        <v>45839</v>
      </c>
      <c r="F12" s="95">
        <v>45474</v>
      </c>
      <c r="G12" s="95">
        <v>45108</v>
      </c>
      <c r="H12" s="95">
        <v>44743</v>
      </c>
      <c r="I12" s="95">
        <v>44378</v>
      </c>
      <c r="J12" s="95">
        <v>44013</v>
      </c>
      <c r="K12" s="95">
        <v>43647</v>
      </c>
      <c r="L12" s="95">
        <v>43282</v>
      </c>
      <c r="M12" s="24">
        <v>42917</v>
      </c>
      <c r="N12" s="24">
        <v>42552</v>
      </c>
      <c r="O12" s="24">
        <v>42186</v>
      </c>
      <c r="P12" s="24">
        <v>41821</v>
      </c>
      <c r="Q12" s="24">
        <v>41456</v>
      </c>
      <c r="R12" s="24">
        <v>41091</v>
      </c>
      <c r="S12" s="24">
        <v>40725</v>
      </c>
      <c r="T12" s="24">
        <v>40360</v>
      </c>
      <c r="U12" s="25">
        <v>39995</v>
      </c>
    </row>
    <row r="13" spans="1:21" ht="13.8" thickBot="1" x14ac:dyDescent="0.3">
      <c r="A13" s="49" t="s">
        <v>149</v>
      </c>
      <c r="B13" s="50" t="str">
        <f t="shared" ref="B13:B14" si="1">IFERROR(((E13-F13)/F13),"")</f>
        <v/>
      </c>
      <c r="C13" s="156"/>
      <c r="D13" s="51"/>
      <c r="E13" s="99"/>
      <c r="F13" s="51"/>
      <c r="G13" s="51"/>
      <c r="H13" s="51">
        <v>4060</v>
      </c>
      <c r="I13" s="51">
        <v>0</v>
      </c>
      <c r="J13" s="51">
        <v>747</v>
      </c>
      <c r="K13" s="51">
        <v>1143</v>
      </c>
      <c r="L13" s="51">
        <v>0</v>
      </c>
      <c r="M13" s="51">
        <v>400</v>
      </c>
      <c r="N13" s="51"/>
      <c r="O13" s="51"/>
      <c r="P13" s="51"/>
      <c r="Q13" s="51"/>
      <c r="R13" s="51"/>
      <c r="S13" s="51">
        <v>0</v>
      </c>
      <c r="T13" s="51"/>
      <c r="U13" s="60"/>
    </row>
    <row r="14" spans="1:21" ht="13.8" thickBot="1" x14ac:dyDescent="0.3">
      <c r="A14" s="48" t="s">
        <v>93</v>
      </c>
      <c r="B14" s="56" t="str">
        <f t="shared" si="1"/>
        <v/>
      </c>
      <c r="C14" s="63"/>
      <c r="D14" s="75"/>
      <c r="E14" s="101"/>
      <c r="F14" s="75"/>
      <c r="G14" s="75"/>
      <c r="H14" s="75">
        <v>4060</v>
      </c>
      <c r="I14" s="75">
        <v>0</v>
      </c>
      <c r="J14" s="75">
        <v>747</v>
      </c>
      <c r="K14" s="75">
        <v>1143</v>
      </c>
      <c r="L14" s="75">
        <v>0</v>
      </c>
      <c r="M14" s="75">
        <v>400</v>
      </c>
      <c r="N14" s="75"/>
      <c r="O14" s="75"/>
      <c r="P14" s="75"/>
      <c r="Q14" s="75"/>
      <c r="R14" s="75"/>
      <c r="S14" s="75">
        <v>0</v>
      </c>
      <c r="T14" s="75"/>
      <c r="U14" s="76"/>
    </row>
    <row r="15" spans="1:21" x14ac:dyDescent="0.25">
      <c r="B15" s="3" t="s">
        <v>178</v>
      </c>
    </row>
  </sheetData>
  <conditionalFormatting sqref="E1">
    <cfRule type="expression" dxfId="9" priority="2">
      <formula>ISBLANK(XFD1)=FALSE</formula>
    </cfRule>
  </conditionalFormatting>
  <conditionalFormatting sqref="E12">
    <cfRule type="expression" dxfId="8" priority="1">
      <formula>ISBLANK(XFD12)=FALSE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46"/>
  <sheetViews>
    <sheetView workbookViewId="0"/>
  </sheetViews>
  <sheetFormatPr defaultColWidth="9.109375" defaultRowHeight="13.2" x14ac:dyDescent="0.25"/>
  <cols>
    <col min="1" max="1" width="21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2" customWidth="1"/>
    <col min="13" max="23" width="10.109375" bestFit="1" customWidth="1"/>
  </cols>
  <sheetData>
    <row r="1" spans="1:23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112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3" x14ac:dyDescent="0.25">
      <c r="A2" s="20" t="s">
        <v>4</v>
      </c>
      <c r="B2" s="26" t="str">
        <f t="shared" ref="B2:B19" si="0">IFERROR(((E2-F2)/F2),"")</f>
        <v/>
      </c>
      <c r="C2" s="45">
        <v>-30</v>
      </c>
      <c r="D2" s="1">
        <v>0</v>
      </c>
      <c r="E2" s="106">
        <v>58</v>
      </c>
      <c r="F2" s="1">
        <v>0</v>
      </c>
      <c r="G2" s="1">
        <v>0</v>
      </c>
      <c r="H2" s="1">
        <v>0</v>
      </c>
      <c r="I2" s="1">
        <v>0</v>
      </c>
      <c r="J2" s="51">
        <v>0</v>
      </c>
      <c r="K2" s="1">
        <v>0</v>
      </c>
      <c r="L2" s="1"/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28">
        <v>0</v>
      </c>
    </row>
    <row r="3" spans="1:23" x14ac:dyDescent="0.25">
      <c r="A3" s="20" t="s">
        <v>11</v>
      </c>
      <c r="B3" s="26">
        <f t="shared" si="0"/>
        <v>2.2305764411027571</v>
      </c>
      <c r="C3" s="45">
        <v>-1174</v>
      </c>
      <c r="D3" s="1">
        <v>-1030</v>
      </c>
      <c r="E3" s="106">
        <v>1289</v>
      </c>
      <c r="F3" s="1">
        <v>399</v>
      </c>
      <c r="G3" s="1">
        <v>106</v>
      </c>
      <c r="H3" s="1">
        <v>740</v>
      </c>
      <c r="I3" s="1">
        <v>918</v>
      </c>
      <c r="J3" s="51">
        <v>23</v>
      </c>
      <c r="K3" s="1">
        <v>1370</v>
      </c>
      <c r="L3" s="1"/>
      <c r="M3" s="1">
        <v>308</v>
      </c>
      <c r="N3" s="1">
        <v>118</v>
      </c>
      <c r="O3" s="1">
        <v>214</v>
      </c>
      <c r="P3" s="1">
        <v>621</v>
      </c>
      <c r="Q3" s="1">
        <v>2</v>
      </c>
      <c r="R3" s="1">
        <v>38</v>
      </c>
      <c r="S3" s="1">
        <v>29</v>
      </c>
      <c r="T3" s="1">
        <v>63.5</v>
      </c>
      <c r="U3" s="1">
        <v>0</v>
      </c>
      <c r="V3" s="1">
        <v>0</v>
      </c>
      <c r="W3" s="28">
        <v>0</v>
      </c>
    </row>
    <row r="4" spans="1:23" x14ac:dyDescent="0.25">
      <c r="A4" s="20" t="s">
        <v>5</v>
      </c>
      <c r="B4" s="26" t="str">
        <f t="shared" si="0"/>
        <v/>
      </c>
      <c r="C4" s="45">
        <v>0</v>
      </c>
      <c r="D4" s="1">
        <v>0</v>
      </c>
      <c r="E4" s="106">
        <v>0</v>
      </c>
      <c r="F4" s="1">
        <v>0</v>
      </c>
      <c r="G4" s="1">
        <v>0</v>
      </c>
      <c r="H4" s="1">
        <v>0</v>
      </c>
      <c r="I4" s="1">
        <v>0</v>
      </c>
      <c r="J4" s="51">
        <v>0</v>
      </c>
      <c r="K4" s="1">
        <v>0</v>
      </c>
      <c r="L4" s="1"/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28">
        <v>0</v>
      </c>
    </row>
    <row r="5" spans="1:23" x14ac:dyDescent="0.25">
      <c r="A5" s="20" t="s">
        <v>2</v>
      </c>
      <c r="B5" s="26" t="str">
        <f t="shared" si="0"/>
        <v/>
      </c>
      <c r="C5" s="45">
        <v>0</v>
      </c>
      <c r="D5" s="1">
        <v>0</v>
      </c>
      <c r="E5" s="106">
        <v>0</v>
      </c>
      <c r="F5" s="1">
        <v>0</v>
      </c>
      <c r="G5" s="1">
        <v>0</v>
      </c>
      <c r="H5" s="1">
        <v>0</v>
      </c>
      <c r="I5" s="1">
        <v>0</v>
      </c>
      <c r="J5" s="51">
        <v>0</v>
      </c>
      <c r="K5" s="1">
        <v>0</v>
      </c>
      <c r="L5" s="1"/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28">
        <v>0</v>
      </c>
    </row>
    <row r="6" spans="1:23" x14ac:dyDescent="0.25">
      <c r="A6" s="20" t="s">
        <v>9</v>
      </c>
      <c r="B6" s="26">
        <f t="shared" si="0"/>
        <v>3.7642140468227425</v>
      </c>
      <c r="C6" s="45">
        <v>-2464</v>
      </c>
      <c r="D6" s="1">
        <v>-1832</v>
      </c>
      <c r="E6" s="106">
        <v>2849</v>
      </c>
      <c r="F6" s="1">
        <v>598</v>
      </c>
      <c r="G6" s="1">
        <v>155</v>
      </c>
      <c r="H6" s="1">
        <v>4682</v>
      </c>
      <c r="I6" s="1">
        <v>3584</v>
      </c>
      <c r="J6" s="51">
        <v>2054</v>
      </c>
      <c r="K6" s="1">
        <v>2782</v>
      </c>
      <c r="L6" s="1"/>
      <c r="M6" s="1">
        <v>546</v>
      </c>
      <c r="N6" s="1">
        <v>1345</v>
      </c>
      <c r="O6" s="1">
        <v>387</v>
      </c>
      <c r="P6" s="1">
        <v>1918</v>
      </c>
      <c r="Q6" s="1">
        <v>194</v>
      </c>
      <c r="R6" s="1">
        <v>1941</v>
      </c>
      <c r="S6" s="1">
        <v>619</v>
      </c>
      <c r="T6" s="1">
        <v>185.5</v>
      </c>
      <c r="U6" s="1">
        <v>2</v>
      </c>
      <c r="V6" s="1">
        <v>58</v>
      </c>
      <c r="W6" s="28">
        <v>55</v>
      </c>
    </row>
    <row r="7" spans="1:23" x14ac:dyDescent="0.25">
      <c r="A7" s="20" t="s">
        <v>113</v>
      </c>
      <c r="B7" s="26" t="str">
        <f t="shared" si="0"/>
        <v/>
      </c>
      <c r="C7" s="45">
        <v>-1</v>
      </c>
      <c r="D7" s="1">
        <v>-1</v>
      </c>
      <c r="E7" s="106">
        <v>23</v>
      </c>
      <c r="F7" s="1">
        <v>0</v>
      </c>
      <c r="G7" s="1">
        <v>4</v>
      </c>
      <c r="H7" s="1">
        <v>12</v>
      </c>
      <c r="I7" s="1">
        <v>0</v>
      </c>
      <c r="J7" s="51">
        <v>0</v>
      </c>
      <c r="K7" s="1">
        <v>31</v>
      </c>
      <c r="L7" s="1"/>
      <c r="M7" s="1">
        <v>15</v>
      </c>
      <c r="N7" s="1">
        <v>2</v>
      </c>
      <c r="O7" s="1">
        <v>3</v>
      </c>
      <c r="P7" s="1">
        <v>4</v>
      </c>
      <c r="Q7" s="1">
        <v>0</v>
      </c>
      <c r="R7" s="1">
        <v>11</v>
      </c>
      <c r="S7" s="1">
        <v>246</v>
      </c>
      <c r="T7" s="1">
        <v>0</v>
      </c>
      <c r="U7" s="1">
        <v>45</v>
      </c>
      <c r="V7" s="1">
        <v>29</v>
      </c>
      <c r="W7" s="28">
        <v>7</v>
      </c>
    </row>
    <row r="8" spans="1:23" x14ac:dyDescent="0.25">
      <c r="A8" s="20" t="s">
        <v>3</v>
      </c>
      <c r="B8" s="26">
        <f t="shared" si="0"/>
        <v>0.22296583303980275</v>
      </c>
      <c r="C8" s="45">
        <v>-1000</v>
      </c>
      <c r="D8" s="1">
        <v>-780</v>
      </c>
      <c r="E8" s="106">
        <v>3472</v>
      </c>
      <c r="F8" s="1">
        <v>2839</v>
      </c>
      <c r="G8" s="1">
        <v>2055</v>
      </c>
      <c r="H8" s="1">
        <v>3778</v>
      </c>
      <c r="I8" s="1">
        <v>3055</v>
      </c>
      <c r="J8" s="51">
        <v>2914</v>
      </c>
      <c r="K8" s="1">
        <v>3498</v>
      </c>
      <c r="L8" s="1">
        <v>1239</v>
      </c>
      <c r="M8" s="71">
        <v>4974</v>
      </c>
      <c r="N8" s="71">
        <v>3191</v>
      </c>
      <c r="O8" s="71">
        <v>4446</v>
      </c>
      <c r="P8" s="71">
        <v>2718</v>
      </c>
      <c r="Q8" s="71">
        <v>4199</v>
      </c>
      <c r="R8" s="71">
        <v>4235</v>
      </c>
      <c r="S8" s="71">
        <v>5320</v>
      </c>
      <c r="T8" s="71">
        <v>6067</v>
      </c>
      <c r="U8" s="71">
        <v>6038</v>
      </c>
      <c r="V8" s="1">
        <v>4627</v>
      </c>
      <c r="W8" s="28">
        <v>6559</v>
      </c>
    </row>
    <row r="9" spans="1:23" x14ac:dyDescent="0.25">
      <c r="A9" s="20" t="s">
        <v>17</v>
      </c>
      <c r="B9" s="26" t="str">
        <f t="shared" si="0"/>
        <v/>
      </c>
      <c r="C9" s="45">
        <v>-27</v>
      </c>
      <c r="D9" s="1">
        <v>-10</v>
      </c>
      <c r="E9" s="106">
        <v>15</v>
      </c>
      <c r="F9" s="1">
        <v>0</v>
      </c>
      <c r="G9" s="1">
        <v>0</v>
      </c>
      <c r="H9" s="1">
        <v>43</v>
      </c>
      <c r="I9" s="1">
        <v>0</v>
      </c>
      <c r="J9" s="51">
        <v>0</v>
      </c>
      <c r="K9" s="1">
        <v>4</v>
      </c>
      <c r="L9" s="1"/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1">
        <v>0</v>
      </c>
      <c r="W9" s="28">
        <v>0</v>
      </c>
    </row>
    <row r="10" spans="1:23" x14ac:dyDescent="0.25">
      <c r="A10" s="20" t="s">
        <v>10</v>
      </c>
      <c r="B10" s="26">
        <f t="shared" si="0"/>
        <v>2.3636363636363638</v>
      </c>
      <c r="C10" s="45">
        <v>-139</v>
      </c>
      <c r="D10" s="1">
        <v>0</v>
      </c>
      <c r="E10" s="106">
        <v>74</v>
      </c>
      <c r="F10" s="1">
        <v>22</v>
      </c>
      <c r="G10" s="1">
        <v>40</v>
      </c>
      <c r="H10" s="1">
        <v>149</v>
      </c>
      <c r="I10" s="1">
        <v>49</v>
      </c>
      <c r="J10" s="51">
        <v>3</v>
      </c>
      <c r="K10" s="1">
        <v>121</v>
      </c>
      <c r="L10" s="1"/>
      <c r="M10" s="71">
        <v>37</v>
      </c>
      <c r="N10" s="71">
        <v>228</v>
      </c>
      <c r="O10" s="71">
        <v>160</v>
      </c>
      <c r="P10" s="71">
        <v>305</v>
      </c>
      <c r="Q10" s="71">
        <v>47</v>
      </c>
      <c r="R10" s="71">
        <v>181</v>
      </c>
      <c r="S10" s="71">
        <v>980</v>
      </c>
      <c r="T10" s="71">
        <v>500</v>
      </c>
      <c r="U10" s="71">
        <v>556</v>
      </c>
      <c r="V10" s="1">
        <v>155</v>
      </c>
      <c r="W10" s="28">
        <v>537</v>
      </c>
    </row>
    <row r="11" spans="1:23" x14ac:dyDescent="0.25">
      <c r="A11" s="20" t="s">
        <v>26</v>
      </c>
      <c r="B11" s="26">
        <f t="shared" si="0"/>
        <v>5.1840490797546011</v>
      </c>
      <c r="C11" s="45">
        <v>-350</v>
      </c>
      <c r="D11" s="1">
        <v>-125</v>
      </c>
      <c r="E11" s="106">
        <v>1008</v>
      </c>
      <c r="F11" s="1">
        <v>163</v>
      </c>
      <c r="G11" s="1">
        <v>593</v>
      </c>
      <c r="H11" s="1">
        <v>664</v>
      </c>
      <c r="I11" s="1">
        <v>345</v>
      </c>
      <c r="J11" s="51">
        <v>278</v>
      </c>
      <c r="K11" s="1">
        <v>1061</v>
      </c>
      <c r="L11" s="1"/>
      <c r="M11" s="71">
        <v>1158</v>
      </c>
      <c r="N11" s="71">
        <v>805</v>
      </c>
      <c r="O11" s="71">
        <v>978</v>
      </c>
      <c r="P11" s="71">
        <v>1109</v>
      </c>
      <c r="Q11" s="71">
        <v>887</v>
      </c>
      <c r="R11" s="71">
        <v>1270</v>
      </c>
      <c r="S11" s="71">
        <v>1003</v>
      </c>
      <c r="T11" s="71">
        <v>1079</v>
      </c>
      <c r="U11" s="71">
        <v>1056</v>
      </c>
      <c r="V11" s="1">
        <v>589</v>
      </c>
      <c r="W11" s="28">
        <v>733</v>
      </c>
    </row>
    <row r="12" spans="1:23" x14ac:dyDescent="0.25">
      <c r="A12" s="20" t="s">
        <v>114</v>
      </c>
      <c r="B12" s="26" t="str">
        <f t="shared" si="0"/>
        <v/>
      </c>
      <c r="C12" s="45">
        <v>-11</v>
      </c>
      <c r="D12" s="1">
        <v>0</v>
      </c>
      <c r="E12" s="106">
        <v>119</v>
      </c>
      <c r="F12" s="1">
        <v>0</v>
      </c>
      <c r="G12" s="1">
        <v>0</v>
      </c>
      <c r="H12" s="1">
        <v>0</v>
      </c>
      <c r="I12" s="1">
        <v>0</v>
      </c>
      <c r="J12" s="51">
        <v>0</v>
      </c>
      <c r="K12" s="1">
        <v>0</v>
      </c>
      <c r="L12" s="1"/>
      <c r="M12" s="71">
        <v>0</v>
      </c>
      <c r="N12" s="71">
        <v>0</v>
      </c>
      <c r="O12" s="71">
        <v>5</v>
      </c>
      <c r="P12" s="71">
        <v>30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1">
        <v>0</v>
      </c>
      <c r="W12" s="28">
        <v>5</v>
      </c>
    </row>
    <row r="13" spans="1:23" x14ac:dyDescent="0.25">
      <c r="A13" s="20" t="s">
        <v>115</v>
      </c>
      <c r="B13" s="26">
        <f t="shared" si="0"/>
        <v>2.5714285714285716</v>
      </c>
      <c r="C13" s="45">
        <v>-2</v>
      </c>
      <c r="D13" s="1">
        <v>-13</v>
      </c>
      <c r="E13" s="106">
        <v>25</v>
      </c>
      <c r="F13" s="1">
        <v>7</v>
      </c>
      <c r="G13" s="1">
        <v>30</v>
      </c>
      <c r="H13" s="1">
        <v>12</v>
      </c>
      <c r="I13" s="1">
        <v>23</v>
      </c>
      <c r="J13" s="51">
        <v>0</v>
      </c>
      <c r="K13" s="1">
        <v>43</v>
      </c>
      <c r="L13" s="1"/>
      <c r="M13" s="71">
        <v>42</v>
      </c>
      <c r="N13" s="71">
        <v>26</v>
      </c>
      <c r="O13" s="71">
        <v>306</v>
      </c>
      <c r="P13" s="71">
        <v>262</v>
      </c>
      <c r="Q13" s="71">
        <v>306</v>
      </c>
      <c r="R13" s="71">
        <v>478</v>
      </c>
      <c r="S13" s="71">
        <v>1285</v>
      </c>
      <c r="T13" s="71">
        <v>1001</v>
      </c>
      <c r="U13" s="71">
        <v>415</v>
      </c>
      <c r="V13" s="1">
        <v>366</v>
      </c>
      <c r="W13" s="28">
        <v>1976</v>
      </c>
    </row>
    <row r="14" spans="1:23" x14ac:dyDescent="0.25">
      <c r="A14" s="20" t="s">
        <v>13</v>
      </c>
      <c r="B14" s="26">
        <f t="shared" si="0"/>
        <v>1.7142857142857142</v>
      </c>
      <c r="C14" s="45">
        <v>-65</v>
      </c>
      <c r="D14" s="1">
        <v>-41</v>
      </c>
      <c r="E14" s="106">
        <v>19</v>
      </c>
      <c r="F14" s="1">
        <v>7</v>
      </c>
      <c r="G14" s="1">
        <v>0</v>
      </c>
      <c r="H14" s="1">
        <v>0</v>
      </c>
      <c r="I14" s="1">
        <v>14</v>
      </c>
      <c r="J14" s="51">
        <v>0</v>
      </c>
      <c r="K14" s="1">
        <v>12</v>
      </c>
      <c r="L14" s="1"/>
      <c r="M14" s="71">
        <v>25</v>
      </c>
      <c r="N14" s="71">
        <v>0</v>
      </c>
      <c r="O14" s="71">
        <v>5</v>
      </c>
      <c r="P14" s="71">
        <v>123</v>
      </c>
      <c r="Q14" s="71">
        <v>40</v>
      </c>
      <c r="R14" s="71">
        <v>184</v>
      </c>
      <c r="S14" s="71">
        <v>48</v>
      </c>
      <c r="T14" s="71">
        <v>103</v>
      </c>
      <c r="U14" s="71">
        <v>38</v>
      </c>
      <c r="V14" s="1">
        <v>2</v>
      </c>
      <c r="W14" s="28">
        <v>10</v>
      </c>
    </row>
    <row r="15" spans="1:23" x14ac:dyDescent="0.25">
      <c r="A15" s="20" t="s">
        <v>116</v>
      </c>
      <c r="B15" s="26" t="str">
        <f t="shared" si="0"/>
        <v/>
      </c>
      <c r="C15" s="45">
        <v>0</v>
      </c>
      <c r="D15" s="1">
        <v>0</v>
      </c>
      <c r="E15" s="106">
        <v>0</v>
      </c>
      <c r="F15" s="1">
        <v>0</v>
      </c>
      <c r="G15" s="1">
        <v>0</v>
      </c>
      <c r="H15" s="1">
        <v>0</v>
      </c>
      <c r="I15" s="1">
        <v>0</v>
      </c>
      <c r="J15" s="51">
        <v>0</v>
      </c>
      <c r="K15" s="1">
        <v>0</v>
      </c>
      <c r="L15" s="1"/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1">
        <v>0</v>
      </c>
      <c r="W15" s="28">
        <v>0</v>
      </c>
    </row>
    <row r="16" spans="1:23" x14ac:dyDescent="0.25">
      <c r="A16" s="20" t="s">
        <v>98</v>
      </c>
      <c r="B16" s="26" t="str">
        <f t="shared" si="0"/>
        <v/>
      </c>
      <c r="C16" s="45">
        <v>-80</v>
      </c>
      <c r="D16" s="1">
        <v>0</v>
      </c>
      <c r="E16" s="106">
        <v>46</v>
      </c>
      <c r="F16" s="1">
        <v>0</v>
      </c>
      <c r="G16" s="1">
        <v>0</v>
      </c>
      <c r="H16" s="1">
        <v>0</v>
      </c>
      <c r="I16" s="1">
        <v>3</v>
      </c>
      <c r="J16" s="51">
        <v>0</v>
      </c>
      <c r="K16" s="1">
        <v>6</v>
      </c>
      <c r="L16" s="1"/>
      <c r="M16" s="71">
        <v>6</v>
      </c>
      <c r="N16" s="71">
        <v>0</v>
      </c>
      <c r="O16" s="71">
        <v>0</v>
      </c>
      <c r="P16" s="71">
        <v>15</v>
      </c>
      <c r="Q16" s="71">
        <v>0</v>
      </c>
      <c r="R16" s="71">
        <v>9</v>
      </c>
      <c r="S16" s="71">
        <v>59</v>
      </c>
      <c r="T16" s="71">
        <v>6</v>
      </c>
      <c r="U16" s="71">
        <v>3</v>
      </c>
      <c r="V16" s="1">
        <v>0</v>
      </c>
      <c r="W16" s="28">
        <v>0</v>
      </c>
    </row>
    <row r="17" spans="1:23" x14ac:dyDescent="0.25">
      <c r="A17" s="39" t="s">
        <v>88</v>
      </c>
      <c r="B17" s="26">
        <f t="shared" si="0"/>
        <v>5.3759791122715406</v>
      </c>
      <c r="C17" s="45">
        <v>-1381</v>
      </c>
      <c r="D17" s="1">
        <v>-770</v>
      </c>
      <c r="E17" s="106">
        <v>2442</v>
      </c>
      <c r="F17" s="1">
        <v>383</v>
      </c>
      <c r="G17" s="1">
        <v>1540</v>
      </c>
      <c r="H17" s="1">
        <v>1901</v>
      </c>
      <c r="I17" s="1">
        <v>990</v>
      </c>
      <c r="J17" s="51">
        <v>847</v>
      </c>
      <c r="K17" s="1">
        <v>2084</v>
      </c>
      <c r="L17" s="1">
        <v>115</v>
      </c>
      <c r="M17" s="71">
        <v>1962</v>
      </c>
      <c r="N17" s="71">
        <v>722</v>
      </c>
      <c r="O17" s="71">
        <v>1645</v>
      </c>
      <c r="P17" s="71">
        <v>2106</v>
      </c>
      <c r="Q17" s="71">
        <v>541</v>
      </c>
      <c r="R17" s="71">
        <v>880</v>
      </c>
      <c r="S17" s="71">
        <v>47</v>
      </c>
      <c r="T17" s="71">
        <v>233</v>
      </c>
      <c r="U17" s="71">
        <v>77</v>
      </c>
      <c r="V17" s="1">
        <v>81</v>
      </c>
      <c r="W17" s="28">
        <v>6</v>
      </c>
    </row>
    <row r="18" spans="1:23" ht="13.8" thickBot="1" x14ac:dyDescent="0.3">
      <c r="A18" s="22" t="s">
        <v>59</v>
      </c>
      <c r="B18" s="27">
        <f t="shared" si="0"/>
        <v>9.2204724409448815</v>
      </c>
      <c r="C18" s="46">
        <v>-733</v>
      </c>
      <c r="D18" s="10">
        <v>-293</v>
      </c>
      <c r="E18" s="107">
        <f>625+9+255+409</f>
        <v>1298</v>
      </c>
      <c r="F18" s="10">
        <v>127</v>
      </c>
      <c r="G18" s="10">
        <v>211</v>
      </c>
      <c r="H18" s="10">
        <f>179+20+172</f>
        <v>371</v>
      </c>
      <c r="I18" s="10">
        <v>674</v>
      </c>
      <c r="J18" s="54">
        <v>176</v>
      </c>
      <c r="K18" s="10">
        <f>1244+9+171+18+129</f>
        <v>1571</v>
      </c>
      <c r="L18" s="10">
        <v>26</v>
      </c>
      <c r="M18" s="72">
        <v>42</v>
      </c>
      <c r="N18" s="72">
        <v>157</v>
      </c>
      <c r="O18" s="72">
        <v>171</v>
      </c>
      <c r="P18" s="72">
        <v>388</v>
      </c>
      <c r="Q18" s="72">
        <v>8</v>
      </c>
      <c r="R18" s="72">
        <v>175</v>
      </c>
      <c r="S18" s="72">
        <v>10</v>
      </c>
      <c r="T18" s="72">
        <v>89</v>
      </c>
      <c r="U18" s="72">
        <v>42</v>
      </c>
      <c r="V18" s="10">
        <v>72</v>
      </c>
      <c r="W18" s="30">
        <v>10</v>
      </c>
    </row>
    <row r="19" spans="1:23" ht="13.8" thickBot="1" x14ac:dyDescent="0.3">
      <c r="A19" s="31" t="s">
        <v>22</v>
      </c>
      <c r="B19" s="32">
        <f t="shared" si="0"/>
        <v>1.8024202420242024</v>
      </c>
      <c r="C19" s="124">
        <v>-7457</v>
      </c>
      <c r="D19" s="33">
        <v>-4895</v>
      </c>
      <c r="E19" s="104">
        <f>SUM(E2:E18)</f>
        <v>12737</v>
      </c>
      <c r="F19" s="33">
        <f t="shared" ref="F19:K19" si="1">SUM(F2:F18)</f>
        <v>4545</v>
      </c>
      <c r="G19" s="33">
        <f t="shared" si="1"/>
        <v>4734</v>
      </c>
      <c r="H19" s="33">
        <f t="shared" si="1"/>
        <v>12352</v>
      </c>
      <c r="I19" s="33">
        <f t="shared" si="1"/>
        <v>9655</v>
      </c>
      <c r="J19" s="89">
        <f t="shared" si="1"/>
        <v>6295</v>
      </c>
      <c r="K19" s="33">
        <f t="shared" si="1"/>
        <v>12583</v>
      </c>
      <c r="L19" s="33">
        <f t="shared" ref="L19:Q19" si="2">SUM(L2:L18)</f>
        <v>1380</v>
      </c>
      <c r="M19" s="33">
        <f t="shared" si="2"/>
        <v>9115</v>
      </c>
      <c r="N19" s="33">
        <f t="shared" si="2"/>
        <v>6594</v>
      </c>
      <c r="O19" s="33">
        <f t="shared" si="2"/>
        <v>8320</v>
      </c>
      <c r="P19" s="33">
        <f t="shared" si="2"/>
        <v>9599</v>
      </c>
      <c r="Q19" s="33">
        <f t="shared" si="2"/>
        <v>6224</v>
      </c>
      <c r="R19" s="33">
        <f t="shared" ref="R19:W19" si="3">SUM(R2:R18)</f>
        <v>9402</v>
      </c>
      <c r="S19" s="33">
        <f t="shared" si="3"/>
        <v>9646</v>
      </c>
      <c r="T19" s="33">
        <f t="shared" si="3"/>
        <v>9327</v>
      </c>
      <c r="U19" s="33">
        <f t="shared" si="3"/>
        <v>8272</v>
      </c>
      <c r="V19" s="33">
        <f t="shared" si="3"/>
        <v>5979</v>
      </c>
      <c r="W19" s="34">
        <f t="shared" si="3"/>
        <v>9898</v>
      </c>
    </row>
    <row r="20" spans="1:23" x14ac:dyDescent="0.25">
      <c r="B20" s="35"/>
      <c r="C20" s="35"/>
      <c r="D20" s="35"/>
      <c r="E20" s="35"/>
      <c r="F20" s="35"/>
      <c r="G20" s="35"/>
      <c r="H20" s="35"/>
      <c r="I20" s="35"/>
      <c r="J20" s="113"/>
      <c r="K20" s="35"/>
      <c r="L20" s="35"/>
    </row>
    <row r="21" spans="1:23" ht="13.8" thickBot="1" x14ac:dyDescent="0.3">
      <c r="B21" s="35"/>
      <c r="C21" s="35"/>
      <c r="D21" s="35"/>
      <c r="E21" s="35"/>
      <c r="F21" s="35"/>
      <c r="G21" s="35"/>
      <c r="H21" s="35"/>
      <c r="I21" s="35"/>
      <c r="J21" s="113"/>
      <c r="K21" s="35"/>
      <c r="L21" s="35"/>
    </row>
    <row r="22" spans="1:23" ht="13.8" thickBot="1" x14ac:dyDescent="0.3">
      <c r="A22" s="23" t="s">
        <v>24</v>
      </c>
      <c r="B22" s="119" t="s">
        <v>170</v>
      </c>
      <c r="C22" s="96" t="s">
        <v>171</v>
      </c>
      <c r="D22" s="97" t="s">
        <v>168</v>
      </c>
      <c r="E22" s="105">
        <v>45839</v>
      </c>
      <c r="F22" s="95">
        <v>45474</v>
      </c>
      <c r="G22" s="95">
        <v>45108</v>
      </c>
      <c r="H22" s="95">
        <v>44743</v>
      </c>
      <c r="I22" s="95">
        <v>44378</v>
      </c>
      <c r="J22" s="112">
        <v>44013</v>
      </c>
      <c r="K22" s="95">
        <v>43647</v>
      </c>
      <c r="L22" s="95">
        <v>43282</v>
      </c>
      <c r="M22" s="24">
        <v>42917</v>
      </c>
      <c r="N22" s="24">
        <v>42552</v>
      </c>
      <c r="O22" s="24">
        <v>42186</v>
      </c>
      <c r="P22" s="24">
        <v>41821</v>
      </c>
      <c r="Q22" s="24">
        <v>41456</v>
      </c>
      <c r="R22" s="24">
        <v>41091</v>
      </c>
      <c r="S22" s="24">
        <v>40725</v>
      </c>
      <c r="T22" s="24">
        <v>40360</v>
      </c>
      <c r="U22" s="24">
        <v>39995</v>
      </c>
      <c r="V22" s="24">
        <v>39630</v>
      </c>
      <c r="W22" s="25">
        <v>39264</v>
      </c>
    </row>
    <row r="23" spans="1:23" x14ac:dyDescent="0.25">
      <c r="A23" s="20" t="s">
        <v>117</v>
      </c>
      <c r="B23" s="26" t="str">
        <f t="shared" ref="B23:B28" si="4">IFERROR(((E23-F23)/F23),"")</f>
        <v/>
      </c>
      <c r="C23" s="45">
        <v>-180</v>
      </c>
      <c r="D23" s="1">
        <v>0</v>
      </c>
      <c r="E23" s="106"/>
      <c r="F23" s="1">
        <v>0</v>
      </c>
      <c r="G23" s="1">
        <v>0</v>
      </c>
      <c r="H23" s="1">
        <v>0</v>
      </c>
      <c r="I23" s="1">
        <v>0</v>
      </c>
      <c r="J23" s="51">
        <v>0</v>
      </c>
      <c r="K23" s="1"/>
      <c r="L23" s="1"/>
      <c r="M23" s="1"/>
      <c r="N23" s="1"/>
      <c r="O23" s="1"/>
      <c r="P23" s="1"/>
      <c r="Q23" s="1"/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28">
        <v>0</v>
      </c>
    </row>
    <row r="24" spans="1:23" x14ac:dyDescent="0.25">
      <c r="A24" s="20" t="s">
        <v>7</v>
      </c>
      <c r="B24" s="26" t="str">
        <f t="shared" si="4"/>
        <v/>
      </c>
      <c r="C24" s="45">
        <v>0</v>
      </c>
      <c r="D24" s="1">
        <v>0</v>
      </c>
      <c r="E24" s="106"/>
      <c r="F24" s="1">
        <v>0</v>
      </c>
      <c r="G24" s="1">
        <v>0</v>
      </c>
      <c r="H24" s="1">
        <v>0</v>
      </c>
      <c r="I24" s="1">
        <v>0</v>
      </c>
      <c r="J24" s="51">
        <v>0</v>
      </c>
      <c r="K24" s="1"/>
      <c r="L24" s="1"/>
      <c r="M24" s="1"/>
      <c r="N24" s="1"/>
      <c r="O24" s="1"/>
      <c r="P24" s="1"/>
      <c r="Q24" s="1"/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28">
        <v>0</v>
      </c>
    </row>
    <row r="25" spans="1:23" x14ac:dyDescent="0.25">
      <c r="A25" s="20" t="s">
        <v>118</v>
      </c>
      <c r="B25" s="26" t="str">
        <f t="shared" si="4"/>
        <v/>
      </c>
      <c r="C25" s="45">
        <v>0</v>
      </c>
      <c r="D25" s="1">
        <v>0</v>
      </c>
      <c r="E25" s="106"/>
      <c r="F25" s="1">
        <v>0</v>
      </c>
      <c r="G25" s="1">
        <v>0</v>
      </c>
      <c r="H25" s="1">
        <v>0</v>
      </c>
      <c r="I25" s="1">
        <v>0</v>
      </c>
      <c r="J25" s="51">
        <v>0</v>
      </c>
      <c r="K25" s="1"/>
      <c r="L25" s="1"/>
      <c r="M25" s="1"/>
      <c r="N25" s="1"/>
      <c r="O25" s="1"/>
      <c r="P25" s="1"/>
      <c r="Q25" s="1"/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28">
        <v>0</v>
      </c>
    </row>
    <row r="26" spans="1:23" x14ac:dyDescent="0.25">
      <c r="A26" s="20" t="s">
        <v>142</v>
      </c>
      <c r="B26" s="26" t="str">
        <f t="shared" si="4"/>
        <v/>
      </c>
      <c r="C26" s="45">
        <v>0</v>
      </c>
      <c r="D26" s="1">
        <v>0</v>
      </c>
      <c r="E26" s="106"/>
      <c r="F26" s="1">
        <v>0</v>
      </c>
      <c r="G26" s="1">
        <v>0</v>
      </c>
      <c r="H26" s="1">
        <v>0</v>
      </c>
      <c r="I26" s="1">
        <v>0</v>
      </c>
      <c r="J26" s="5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8"/>
    </row>
    <row r="27" spans="1:23" ht="13.8" thickBot="1" x14ac:dyDescent="0.3">
      <c r="A27" s="29" t="s">
        <v>59</v>
      </c>
      <c r="B27" s="27" t="str">
        <f t="shared" si="4"/>
        <v/>
      </c>
      <c r="C27" s="46">
        <v>0</v>
      </c>
      <c r="D27" s="10">
        <v>0</v>
      </c>
      <c r="E27" s="107"/>
      <c r="F27" s="10">
        <v>0</v>
      </c>
      <c r="G27" s="10">
        <v>0</v>
      </c>
      <c r="H27" s="10">
        <v>0</v>
      </c>
      <c r="I27" s="10">
        <v>0</v>
      </c>
      <c r="J27" s="54">
        <v>0</v>
      </c>
      <c r="K27" s="10"/>
      <c r="L27" s="10"/>
      <c r="M27" s="10"/>
      <c r="N27" s="10"/>
      <c r="O27" s="10"/>
      <c r="P27" s="10"/>
      <c r="Q27" s="10"/>
      <c r="R27" s="10">
        <v>1</v>
      </c>
      <c r="S27" s="10">
        <v>0</v>
      </c>
      <c r="T27" s="10">
        <v>0</v>
      </c>
      <c r="U27" s="10">
        <v>0</v>
      </c>
      <c r="V27" s="10">
        <v>0</v>
      </c>
      <c r="W27" s="30">
        <v>0</v>
      </c>
    </row>
    <row r="28" spans="1:23" ht="13.8" thickBot="1" x14ac:dyDescent="0.3">
      <c r="A28" s="31" t="s">
        <v>22</v>
      </c>
      <c r="B28" s="32" t="str">
        <f t="shared" si="4"/>
        <v/>
      </c>
      <c r="C28" s="124">
        <v>-180</v>
      </c>
      <c r="D28" s="33">
        <v>0</v>
      </c>
      <c r="E28" s="104">
        <f>SUM(E23:E27)</f>
        <v>0</v>
      </c>
      <c r="F28" s="33">
        <v>0</v>
      </c>
      <c r="G28" s="33">
        <v>0</v>
      </c>
      <c r="H28" s="33">
        <v>0</v>
      </c>
      <c r="I28" s="33">
        <v>0</v>
      </c>
      <c r="J28" s="89">
        <v>0</v>
      </c>
      <c r="K28" s="33"/>
      <c r="L28" s="33"/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f>SUM(R23:R27)</f>
        <v>2</v>
      </c>
      <c r="S28" s="33">
        <v>0</v>
      </c>
      <c r="T28" s="33">
        <f>SUM(T23:T27)</f>
        <v>0</v>
      </c>
      <c r="U28" s="33">
        <f>SUM(U23:U27)</f>
        <v>0</v>
      </c>
      <c r="V28" s="33">
        <f>SUM(V23:V27)</f>
        <v>0</v>
      </c>
      <c r="W28" s="34">
        <f>SUM(W23:W27)</f>
        <v>0</v>
      </c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5"/>
      <c r="W37" s="1"/>
      <c r="X37" s="1"/>
    </row>
    <row r="38" spans="22:24" ht="17.399999999999999" x14ac:dyDescent="0.3">
      <c r="V38" s="5"/>
      <c r="W38" s="1"/>
      <c r="X38" s="1"/>
    </row>
    <row r="39" spans="22:24" ht="17.399999999999999" x14ac:dyDescent="0.3">
      <c r="V39" s="5"/>
      <c r="W39" s="1"/>
      <c r="X39" s="1"/>
    </row>
    <row r="40" spans="22:24" ht="17.399999999999999" x14ac:dyDescent="0.3">
      <c r="V40" s="5"/>
      <c r="W40" s="1"/>
      <c r="X40" s="1"/>
    </row>
    <row r="41" spans="22:24" ht="17.399999999999999" x14ac:dyDescent="0.3">
      <c r="V41" s="5"/>
      <c r="W41" s="1"/>
      <c r="X41" s="1"/>
    </row>
    <row r="42" spans="22:24" ht="17.399999999999999" x14ac:dyDescent="0.3">
      <c r="V42" s="5"/>
      <c r="W42" s="1"/>
      <c r="X42" s="1"/>
    </row>
    <row r="43" spans="22:24" ht="17.399999999999999" x14ac:dyDescent="0.3">
      <c r="V43" s="5"/>
      <c r="W43" s="1"/>
      <c r="X43" s="1"/>
    </row>
    <row r="44" spans="22:24" ht="17.399999999999999" x14ac:dyDescent="0.3">
      <c r="V44" s="5"/>
      <c r="W44" s="1"/>
      <c r="X44" s="1"/>
    </row>
    <row r="45" spans="22:24" ht="17.399999999999999" x14ac:dyDescent="0.3">
      <c r="V45" s="6"/>
      <c r="W45" s="1"/>
      <c r="X45" s="1"/>
    </row>
    <row r="46" spans="22:24" ht="18" x14ac:dyDescent="0.35">
      <c r="V46" s="7"/>
      <c r="W46" s="2"/>
      <c r="X46" s="2"/>
    </row>
  </sheetData>
  <conditionalFormatting sqref="E1">
    <cfRule type="expression" dxfId="7" priority="2">
      <formula>ISBLANK(XFD1)=FALSE</formula>
    </cfRule>
  </conditionalFormatting>
  <conditionalFormatting sqref="E22">
    <cfRule type="expression" dxfId="6" priority="1">
      <formula>ISBLANK(XFD22)=FALSE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36"/>
  <sheetViews>
    <sheetView zoomScaleNormal="100" workbookViewId="0"/>
  </sheetViews>
  <sheetFormatPr defaultColWidth="9.109375" defaultRowHeight="13.2" x14ac:dyDescent="0.25"/>
  <cols>
    <col min="1" max="1" width="18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44140625" customWidth="1"/>
    <col min="12" max="12" width="11.6640625" customWidth="1"/>
    <col min="13" max="23" width="10.109375" bestFit="1" customWidth="1"/>
  </cols>
  <sheetData>
    <row r="1" spans="1:27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7" x14ac:dyDescent="0.25">
      <c r="A2" s="20" t="s">
        <v>109</v>
      </c>
      <c r="B2" s="26">
        <f t="shared" ref="B2:B8" si="0">IFERROR(((E2-F2)/F2),"")</f>
        <v>1.9776422764227641</v>
      </c>
      <c r="C2" s="45">
        <v>-1308</v>
      </c>
      <c r="D2" s="1">
        <v>-571</v>
      </c>
      <c r="E2" s="106">
        <v>1465</v>
      </c>
      <c r="F2" s="1">
        <v>492</v>
      </c>
      <c r="G2" s="1">
        <v>1142.6947706184942</v>
      </c>
      <c r="H2" s="1">
        <v>3332</v>
      </c>
      <c r="I2" s="1">
        <v>1751.6471294753794</v>
      </c>
      <c r="J2" s="1">
        <v>1363</v>
      </c>
      <c r="K2" s="1">
        <v>4558</v>
      </c>
      <c r="L2" s="1">
        <v>203</v>
      </c>
      <c r="M2" s="1">
        <v>4222</v>
      </c>
      <c r="N2" s="1">
        <v>1477</v>
      </c>
      <c r="O2" s="1">
        <v>97.28</v>
      </c>
      <c r="P2" s="1">
        <v>1191.5208168398092</v>
      </c>
      <c r="Q2" s="1">
        <v>24.7</v>
      </c>
      <c r="R2" s="1">
        <v>223</v>
      </c>
      <c r="S2" s="1">
        <v>61.854499999999994</v>
      </c>
      <c r="T2" s="1">
        <v>20</v>
      </c>
      <c r="U2" s="1">
        <v>0</v>
      </c>
      <c r="V2" s="1">
        <v>2835</v>
      </c>
      <c r="W2" s="28">
        <v>928</v>
      </c>
    </row>
    <row r="3" spans="1:27" x14ac:dyDescent="0.25">
      <c r="A3" s="20" t="s">
        <v>110</v>
      </c>
      <c r="B3" s="26">
        <f t="shared" si="0"/>
        <v>-1</v>
      </c>
      <c r="C3" s="45">
        <v>0</v>
      </c>
      <c r="D3" s="1">
        <v>0</v>
      </c>
      <c r="E3" s="106">
        <v>0</v>
      </c>
      <c r="F3" s="1">
        <v>12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7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24.85267009255568</v>
      </c>
      <c r="T3" s="1">
        <v>0</v>
      </c>
      <c r="U3" s="1">
        <v>189</v>
      </c>
      <c r="V3" s="1">
        <v>135</v>
      </c>
      <c r="W3" s="28">
        <v>179</v>
      </c>
    </row>
    <row r="4" spans="1:27" x14ac:dyDescent="0.25">
      <c r="A4" s="20" t="s">
        <v>111</v>
      </c>
      <c r="B4" s="26">
        <f t="shared" si="0"/>
        <v>-0.35647928581392108</v>
      </c>
      <c r="C4" s="45">
        <v>-13351</v>
      </c>
      <c r="D4" s="1">
        <v>-12178</v>
      </c>
      <c r="E4" s="106">
        <v>23067</v>
      </c>
      <c r="F4" s="1">
        <v>35845</v>
      </c>
      <c r="G4" s="1">
        <v>18615.133969004561</v>
      </c>
      <c r="H4" s="1">
        <v>40683</v>
      </c>
      <c r="I4" s="1">
        <v>16828.195570692613</v>
      </c>
      <c r="J4" s="1">
        <v>31859.748204175536</v>
      </c>
      <c r="K4" s="1">
        <v>21858</v>
      </c>
      <c r="L4" s="1">
        <v>12320</v>
      </c>
      <c r="M4" s="1">
        <v>36307</v>
      </c>
      <c r="N4" s="1">
        <v>11986</v>
      </c>
      <c r="O4" s="1">
        <v>18696.600317513683</v>
      </c>
      <c r="P4" s="1">
        <v>23497.722107214733</v>
      </c>
      <c r="Q4" s="1">
        <v>4570.0912967853046</v>
      </c>
      <c r="R4" s="1">
        <v>20622</v>
      </c>
      <c r="S4" s="1">
        <v>8592.341530243435</v>
      </c>
      <c r="T4" s="1">
        <v>11129.248316860951</v>
      </c>
      <c r="U4" s="1">
        <v>28789</v>
      </c>
      <c r="V4" s="1">
        <v>39485</v>
      </c>
      <c r="W4" s="28">
        <v>35405</v>
      </c>
    </row>
    <row r="5" spans="1:27" x14ac:dyDescent="0.25">
      <c r="A5" s="20" t="s">
        <v>17</v>
      </c>
      <c r="B5" s="26">
        <f t="shared" si="0"/>
        <v>0.63738826272833271</v>
      </c>
      <c r="C5" s="45">
        <v>-1809</v>
      </c>
      <c r="D5" s="1">
        <v>-2625</v>
      </c>
      <c r="E5" s="106">
        <v>8426</v>
      </c>
      <c r="F5" s="1">
        <v>5146</v>
      </c>
      <c r="G5" s="1">
        <v>2716.0879769870457</v>
      </c>
      <c r="H5" s="1">
        <v>6699</v>
      </c>
      <c r="I5" s="1">
        <v>4191.0496308956799</v>
      </c>
      <c r="J5" s="1">
        <v>5147</v>
      </c>
      <c r="K5" s="1">
        <v>3541</v>
      </c>
      <c r="L5" s="1">
        <v>2553</v>
      </c>
      <c r="M5" s="1">
        <v>2012</v>
      </c>
      <c r="N5" s="1">
        <v>2097</v>
      </c>
      <c r="O5" s="1">
        <v>816.74043741653247</v>
      </c>
      <c r="P5" s="1">
        <v>261.11845585494086</v>
      </c>
      <c r="Q5" s="1">
        <v>220.83203035884196</v>
      </c>
      <c r="R5" s="1">
        <v>666</v>
      </c>
      <c r="S5" s="1">
        <v>4.3222034943575096</v>
      </c>
      <c r="T5" s="1">
        <v>49</v>
      </c>
      <c r="U5" s="1">
        <v>0</v>
      </c>
      <c r="V5" s="1">
        <v>475</v>
      </c>
      <c r="W5" s="28">
        <v>101</v>
      </c>
      <c r="Z5" s="1"/>
      <c r="AA5" s="1"/>
    </row>
    <row r="6" spans="1:27" x14ac:dyDescent="0.25">
      <c r="A6" s="20" t="s">
        <v>19</v>
      </c>
      <c r="B6" s="26">
        <f t="shared" si="0"/>
        <v>4.4133476856835309E-2</v>
      </c>
      <c r="C6" s="45">
        <v>-800</v>
      </c>
      <c r="D6" s="1">
        <v>-1203</v>
      </c>
      <c r="E6" s="106">
        <v>970</v>
      </c>
      <c r="F6" s="1">
        <v>929</v>
      </c>
      <c r="G6" s="1">
        <v>2162.2914678512275</v>
      </c>
      <c r="H6" s="1">
        <v>4132</v>
      </c>
      <c r="I6" s="1">
        <v>2131.206917358194</v>
      </c>
      <c r="J6" s="1">
        <v>2945.1401734125138</v>
      </c>
      <c r="K6" s="1">
        <v>2494</v>
      </c>
      <c r="L6" s="1">
        <v>412</v>
      </c>
      <c r="M6" s="71">
        <v>1619</v>
      </c>
      <c r="N6" s="71">
        <v>1452</v>
      </c>
      <c r="O6" s="71">
        <v>401.96849956609697</v>
      </c>
      <c r="P6" s="71">
        <v>69.404352398493188</v>
      </c>
      <c r="Q6" s="71">
        <v>6.5290433005021118</v>
      </c>
      <c r="R6" s="71">
        <v>15</v>
      </c>
      <c r="S6" s="71">
        <v>4.3222034943575096</v>
      </c>
      <c r="T6" s="71">
        <v>72</v>
      </c>
      <c r="U6" s="71">
        <v>63</v>
      </c>
      <c r="V6" s="1">
        <v>2220</v>
      </c>
      <c r="W6" s="28">
        <v>2095</v>
      </c>
      <c r="Z6" s="1"/>
      <c r="AA6" s="1"/>
    </row>
    <row r="7" spans="1:27" ht="13.8" thickBot="1" x14ac:dyDescent="0.3">
      <c r="A7" s="21" t="s">
        <v>59</v>
      </c>
      <c r="B7" s="26">
        <f t="shared" si="0"/>
        <v>-0.16223404255319149</v>
      </c>
      <c r="C7" s="45">
        <v>-2323</v>
      </c>
      <c r="D7" s="1">
        <v>-2303</v>
      </c>
      <c r="E7" s="106">
        <v>2520</v>
      </c>
      <c r="F7" s="1">
        <v>3008</v>
      </c>
      <c r="G7" s="1">
        <v>1400</v>
      </c>
      <c r="H7" s="1">
        <v>2005</v>
      </c>
      <c r="I7" s="1">
        <v>2760</v>
      </c>
      <c r="J7" s="1">
        <v>2088</v>
      </c>
      <c r="K7" s="1">
        <v>537</v>
      </c>
      <c r="L7" s="1">
        <v>484</v>
      </c>
      <c r="M7" s="71">
        <v>238</v>
      </c>
      <c r="N7" s="71">
        <v>530</v>
      </c>
      <c r="O7" s="71">
        <v>95</v>
      </c>
      <c r="P7" s="71">
        <v>240.6</v>
      </c>
      <c r="Q7" s="71">
        <v>0</v>
      </c>
      <c r="R7" s="71">
        <v>54</v>
      </c>
      <c r="S7" s="71">
        <v>28.18</v>
      </c>
      <c r="T7" s="71">
        <v>4</v>
      </c>
      <c r="U7" s="71">
        <v>116</v>
      </c>
      <c r="V7" s="1">
        <v>712</v>
      </c>
      <c r="W7" s="28">
        <v>1427</v>
      </c>
      <c r="Z7" s="1"/>
      <c r="AA7" s="1"/>
    </row>
    <row r="8" spans="1:27" ht="13.8" thickBot="1" x14ac:dyDescent="0.3">
      <c r="A8" s="23" t="s">
        <v>22</v>
      </c>
      <c r="B8" s="109">
        <f t="shared" si="0"/>
        <v>-0.19774608205670013</v>
      </c>
      <c r="C8" s="63">
        <v>-19591</v>
      </c>
      <c r="D8" s="42">
        <v>-18880</v>
      </c>
      <c r="E8" s="108">
        <f t="shared" ref="E8" si="1">SUM(E2:E7)</f>
        <v>36448</v>
      </c>
      <c r="F8" s="42">
        <f t="shared" ref="F8:K8" si="2">SUM(F2:F7)</f>
        <v>45432</v>
      </c>
      <c r="G8" s="42">
        <f t="shared" si="2"/>
        <v>26036.208184461328</v>
      </c>
      <c r="H8" s="42">
        <f t="shared" si="2"/>
        <v>56851</v>
      </c>
      <c r="I8" s="42">
        <f t="shared" si="2"/>
        <v>27662.099248421866</v>
      </c>
      <c r="J8" s="42">
        <f t="shared" si="2"/>
        <v>43402.888377588053</v>
      </c>
      <c r="K8" s="42">
        <f t="shared" si="2"/>
        <v>32988</v>
      </c>
      <c r="L8" s="42">
        <f t="shared" ref="L8:Q8" si="3">SUM(L2:L7)</f>
        <v>15979</v>
      </c>
      <c r="M8" s="42">
        <f t="shared" si="3"/>
        <v>44398</v>
      </c>
      <c r="N8" s="42">
        <f t="shared" si="3"/>
        <v>17542</v>
      </c>
      <c r="O8" s="42">
        <f t="shared" si="3"/>
        <v>20107.58925449631</v>
      </c>
      <c r="P8" s="42">
        <f t="shared" si="3"/>
        <v>25260.365732307975</v>
      </c>
      <c r="Q8" s="42">
        <f t="shared" si="3"/>
        <v>4822.1523704446481</v>
      </c>
      <c r="R8" s="42">
        <f t="shared" ref="R8:W8" si="4">SUM(R2:R7)</f>
        <v>21580</v>
      </c>
      <c r="S8" s="42">
        <f t="shared" si="4"/>
        <v>8715.8731073247054</v>
      </c>
      <c r="T8" s="42">
        <f t="shared" si="4"/>
        <v>11274.248316860951</v>
      </c>
      <c r="U8" s="42">
        <f t="shared" si="4"/>
        <v>29157</v>
      </c>
      <c r="V8" s="42">
        <f t="shared" si="4"/>
        <v>45862</v>
      </c>
      <c r="W8" s="82">
        <f t="shared" si="4"/>
        <v>40135</v>
      </c>
      <c r="Z8" s="1"/>
      <c r="AA8" s="1"/>
    </row>
    <row r="9" spans="1:27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Z9" s="1"/>
      <c r="AA9" s="1"/>
    </row>
    <row r="10" spans="1:27" ht="13.8" thickBot="1" x14ac:dyDescent="0.3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27" ht="13.8" thickBot="1" x14ac:dyDescent="0.3">
      <c r="A11" s="23" t="s">
        <v>24</v>
      </c>
      <c r="B11" s="119" t="s">
        <v>170</v>
      </c>
      <c r="C11" s="96" t="s">
        <v>171</v>
      </c>
      <c r="D11" s="97" t="s">
        <v>168</v>
      </c>
      <c r="E11" s="105">
        <v>45839</v>
      </c>
      <c r="F11" s="95">
        <v>45474</v>
      </c>
      <c r="G11" s="95">
        <v>45108</v>
      </c>
      <c r="H11" s="95">
        <v>44743</v>
      </c>
      <c r="I11" s="95">
        <v>44378</v>
      </c>
      <c r="J11" s="95">
        <v>44013</v>
      </c>
      <c r="K11" s="95">
        <v>43647</v>
      </c>
      <c r="L11" s="95">
        <v>43282</v>
      </c>
      <c r="M11" s="24">
        <v>42917</v>
      </c>
      <c r="N11" s="24">
        <v>42552</v>
      </c>
      <c r="O11" s="24">
        <v>42186</v>
      </c>
      <c r="P11" s="24">
        <v>41821</v>
      </c>
      <c r="Q11" s="24">
        <v>41456</v>
      </c>
      <c r="R11" s="24">
        <v>41091</v>
      </c>
      <c r="S11" s="24">
        <v>40725</v>
      </c>
      <c r="T11" s="24">
        <v>40360</v>
      </c>
      <c r="U11" s="24">
        <v>39995</v>
      </c>
      <c r="V11" s="24">
        <v>39630</v>
      </c>
      <c r="W11" s="25">
        <v>39264</v>
      </c>
    </row>
    <row r="12" spans="1:27" x14ac:dyDescent="0.25">
      <c r="A12" s="20" t="s">
        <v>38</v>
      </c>
      <c r="B12" s="26" t="str">
        <f t="shared" ref="B12:B17" si="5">IFERROR(((E12-F12)/F12),"")</f>
        <v/>
      </c>
      <c r="C12" s="45">
        <v>0</v>
      </c>
      <c r="D12" s="1">
        <v>-35</v>
      </c>
      <c r="E12" s="106"/>
      <c r="F12" s="1"/>
      <c r="G12" s="1"/>
      <c r="H12" s="1"/>
      <c r="I12" s="1"/>
      <c r="J12" s="1"/>
      <c r="K12" s="1">
        <v>0</v>
      </c>
      <c r="L12" s="1">
        <v>6</v>
      </c>
      <c r="M12" s="1">
        <v>19</v>
      </c>
      <c r="N12" s="1">
        <v>0</v>
      </c>
      <c r="O12" s="1">
        <v>2.1978695029452413</v>
      </c>
      <c r="P12" s="1">
        <v>99.66171249923508</v>
      </c>
      <c r="Q12" s="1">
        <v>0</v>
      </c>
      <c r="R12" s="1">
        <v>78</v>
      </c>
      <c r="S12" s="1">
        <v>20.530466598198171</v>
      </c>
      <c r="T12" s="1">
        <v>0</v>
      </c>
      <c r="U12" s="1">
        <v>0</v>
      </c>
      <c r="V12" s="1">
        <v>0</v>
      </c>
      <c r="W12" s="28">
        <v>44</v>
      </c>
    </row>
    <row r="13" spans="1:27" x14ac:dyDescent="0.25">
      <c r="A13" s="20" t="s">
        <v>39</v>
      </c>
      <c r="B13" s="26" t="str">
        <f t="shared" si="5"/>
        <v/>
      </c>
      <c r="C13" s="45">
        <v>-40</v>
      </c>
      <c r="D13" s="1">
        <v>0</v>
      </c>
      <c r="E13" s="106"/>
      <c r="F13" s="1"/>
      <c r="G13" s="1"/>
      <c r="H13" s="1"/>
      <c r="I13" s="1">
        <v>162.17789168384695</v>
      </c>
      <c r="J13" s="1"/>
      <c r="K13" s="1">
        <v>9</v>
      </c>
      <c r="L13" s="1">
        <v>0</v>
      </c>
      <c r="M13" s="1">
        <v>0</v>
      </c>
      <c r="N13" s="1">
        <v>0</v>
      </c>
      <c r="O13" s="1">
        <v>0</v>
      </c>
      <c r="P13" s="1">
        <v>20.360995026725448</v>
      </c>
      <c r="Q13" s="1">
        <v>0</v>
      </c>
      <c r="R13" s="1">
        <v>0</v>
      </c>
      <c r="S13" s="1">
        <v>21.611017471787548</v>
      </c>
      <c r="T13" s="1">
        <v>32.509171282196967</v>
      </c>
      <c r="U13" s="1">
        <v>0</v>
      </c>
      <c r="V13" s="1">
        <v>11</v>
      </c>
      <c r="W13" s="28">
        <v>0</v>
      </c>
      <c r="Z13" s="1"/>
      <c r="AA13" s="1"/>
    </row>
    <row r="14" spans="1:27" x14ac:dyDescent="0.25">
      <c r="A14" s="20" t="s">
        <v>7</v>
      </c>
      <c r="B14" s="26">
        <f t="shared" si="5"/>
        <v>-0.64393839673555353</v>
      </c>
      <c r="C14" s="45">
        <v>-1551</v>
      </c>
      <c r="D14" s="1">
        <v>-4402</v>
      </c>
      <c r="E14" s="106">
        <v>2705</v>
      </c>
      <c r="F14" s="1">
        <v>7597</v>
      </c>
      <c r="G14" s="1">
        <v>1703.9636267390231</v>
      </c>
      <c r="H14" s="1">
        <v>7402.3835075673378</v>
      </c>
      <c r="I14" s="1">
        <v>2959.8591467660981</v>
      </c>
      <c r="J14" s="1">
        <v>2697</v>
      </c>
      <c r="K14" s="1">
        <v>3444</v>
      </c>
      <c r="L14" s="1">
        <v>3266</v>
      </c>
      <c r="M14" s="1">
        <v>987</v>
      </c>
      <c r="N14" s="1">
        <v>4001</v>
      </c>
      <c r="O14" s="1">
        <v>2453.9213000383616</v>
      </c>
      <c r="P14" s="1">
        <v>2272.3942081142795</v>
      </c>
      <c r="Q14" s="1">
        <v>7.6172171839191298</v>
      </c>
      <c r="R14" s="1">
        <v>7890</v>
      </c>
      <c r="S14" s="1">
        <v>2656.1453244049917</v>
      </c>
      <c r="T14" s="1">
        <v>3644.5381741045371</v>
      </c>
      <c r="U14" s="1">
        <v>1066</v>
      </c>
      <c r="V14" s="1">
        <v>571</v>
      </c>
      <c r="W14" s="28">
        <v>2622</v>
      </c>
      <c r="Z14" s="1"/>
      <c r="AA14" s="1"/>
    </row>
    <row r="15" spans="1:27" x14ac:dyDescent="0.25">
      <c r="A15" s="20" t="s">
        <v>112</v>
      </c>
      <c r="B15" s="26" t="str">
        <f t="shared" si="5"/>
        <v/>
      </c>
      <c r="C15" s="45">
        <v>0</v>
      </c>
      <c r="D15" s="1">
        <v>0</v>
      </c>
      <c r="E15" s="106"/>
      <c r="F15" s="1"/>
      <c r="G15" s="1"/>
      <c r="H15" s="1"/>
      <c r="I15" s="1"/>
      <c r="J15" s="1"/>
      <c r="K15" s="1"/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/>
      <c r="V15" s="1">
        <v>0</v>
      </c>
      <c r="W15" s="28">
        <v>0</v>
      </c>
      <c r="Z15" s="1"/>
      <c r="AA15" s="1"/>
    </row>
    <row r="16" spans="1:27" ht="13.8" thickBot="1" x14ac:dyDescent="0.3">
      <c r="A16" s="20" t="s">
        <v>59</v>
      </c>
      <c r="B16" s="26">
        <f t="shared" si="5"/>
        <v>-1</v>
      </c>
      <c r="C16" s="45">
        <v>0</v>
      </c>
      <c r="D16" s="1">
        <v>2.0641684517359913</v>
      </c>
      <c r="E16" s="106"/>
      <c r="F16" s="10">
        <v>2.0641684517359913</v>
      </c>
      <c r="G16" s="10">
        <v>2.0503757797067101</v>
      </c>
      <c r="H16" s="10">
        <v>1.9906177382530428</v>
      </c>
      <c r="I16" s="10">
        <v>49.554355792286565</v>
      </c>
      <c r="J16" s="10"/>
      <c r="K16" s="10">
        <v>15</v>
      </c>
      <c r="L16" s="10">
        <v>0</v>
      </c>
      <c r="M16" s="10">
        <v>115</v>
      </c>
      <c r="N16" s="10">
        <v>0</v>
      </c>
      <c r="O16" s="10">
        <v>0</v>
      </c>
      <c r="P16" s="10">
        <v>0</v>
      </c>
      <c r="Q16" s="10">
        <v>0</v>
      </c>
      <c r="R16" s="10">
        <v>68</v>
      </c>
      <c r="S16" s="10">
        <v>58.681652620768126</v>
      </c>
      <c r="T16" s="10">
        <v>0</v>
      </c>
      <c r="U16" s="10">
        <v>0</v>
      </c>
      <c r="V16" s="10">
        <v>240</v>
      </c>
      <c r="W16" s="30">
        <v>58</v>
      </c>
      <c r="Z16" s="1"/>
      <c r="AA16" s="1"/>
    </row>
    <row r="17" spans="1:27" ht="13.8" thickBot="1" x14ac:dyDescent="0.3">
      <c r="A17" s="23" t="s">
        <v>22</v>
      </c>
      <c r="B17" s="109">
        <f t="shared" si="5"/>
        <v>-0.6440351153724857</v>
      </c>
      <c r="C17" s="63">
        <v>-1591</v>
      </c>
      <c r="D17" s="42">
        <v>-4434.9358315482641</v>
      </c>
      <c r="E17" s="108">
        <f t="shared" ref="E17" si="6">SUM(E12:E16)</f>
        <v>2705</v>
      </c>
      <c r="F17" s="33">
        <f t="shared" ref="F17:L17" si="7">SUM(F12:F16)</f>
        <v>7599.0641684517359</v>
      </c>
      <c r="G17" s="33">
        <f t="shared" si="7"/>
        <v>1706.0140025187297</v>
      </c>
      <c r="H17" s="33">
        <f t="shared" si="7"/>
        <v>7404.3741253055905</v>
      </c>
      <c r="I17" s="33">
        <f t="shared" si="7"/>
        <v>3171.5913942422317</v>
      </c>
      <c r="J17" s="33">
        <f t="shared" si="7"/>
        <v>2697</v>
      </c>
      <c r="K17" s="33">
        <f t="shared" si="7"/>
        <v>3468</v>
      </c>
      <c r="L17" s="33">
        <f t="shared" si="7"/>
        <v>3272</v>
      </c>
      <c r="M17" s="33">
        <v>1121</v>
      </c>
      <c r="N17" s="33">
        <f>SUM(N12:N16)</f>
        <v>4001</v>
      </c>
      <c r="O17" s="33">
        <f>SUM(O12:O16)</f>
        <v>2456.1191695413067</v>
      </c>
      <c r="P17" s="33">
        <f>SUM(P12:P16)</f>
        <v>2392.4169156402399</v>
      </c>
      <c r="Q17" s="33">
        <f>SUM(Q12:Q16)</f>
        <v>7.6172171839191298</v>
      </c>
      <c r="R17" s="33">
        <f t="shared" ref="R17:W17" si="8">SUM(R12:R16)</f>
        <v>8036</v>
      </c>
      <c r="S17" s="33">
        <f t="shared" si="8"/>
        <v>2756.9684610957456</v>
      </c>
      <c r="T17" s="33">
        <f t="shared" si="8"/>
        <v>3677.0473453867339</v>
      </c>
      <c r="U17" s="33">
        <f t="shared" si="8"/>
        <v>1066</v>
      </c>
      <c r="V17" s="33">
        <f t="shared" si="8"/>
        <v>822</v>
      </c>
      <c r="W17" s="34">
        <f t="shared" si="8"/>
        <v>2724</v>
      </c>
      <c r="Z17" s="1"/>
      <c r="AA17" s="1"/>
    </row>
    <row r="20" spans="1:27" ht="13.8" x14ac:dyDescent="0.25">
      <c r="F20" s="92"/>
      <c r="G20" s="92"/>
      <c r="H20" s="92"/>
      <c r="I20" s="92"/>
      <c r="J20" s="92"/>
      <c r="K20" s="92"/>
      <c r="L20" s="91"/>
      <c r="M20" s="91"/>
    </row>
    <row r="21" spans="1:27" ht="13.8" x14ac:dyDescent="0.25">
      <c r="F21" s="90"/>
      <c r="G21" s="90"/>
      <c r="H21" s="90"/>
      <c r="I21" s="90"/>
      <c r="J21" s="90"/>
      <c r="K21" s="90"/>
      <c r="L21" s="91"/>
      <c r="M21" s="91"/>
    </row>
    <row r="22" spans="1:27" ht="13.8" x14ac:dyDescent="0.25">
      <c r="F22" s="37"/>
      <c r="G22" s="37"/>
      <c r="H22" s="37"/>
      <c r="I22" s="37"/>
      <c r="J22" s="37"/>
      <c r="K22" s="37"/>
      <c r="L22" s="91"/>
      <c r="M22" s="91"/>
    </row>
    <row r="23" spans="1:27" ht="13.8" x14ac:dyDescent="0.25">
      <c r="F23" s="90"/>
      <c r="G23" s="90"/>
      <c r="H23" s="90"/>
      <c r="I23" s="90"/>
      <c r="J23" s="90"/>
      <c r="K23" s="90"/>
      <c r="L23" s="91"/>
      <c r="M23" s="91"/>
    </row>
    <row r="24" spans="1:27" ht="17.399999999999999" x14ac:dyDescent="0.3">
      <c r="F24" s="90"/>
      <c r="G24" s="90"/>
      <c r="H24" s="90"/>
      <c r="I24" s="90"/>
      <c r="J24" s="90"/>
      <c r="K24" s="90"/>
      <c r="L24" s="91"/>
      <c r="M24" s="91"/>
      <c r="V24" s="5"/>
      <c r="W24" s="1"/>
      <c r="X24" s="1"/>
    </row>
    <row r="25" spans="1:27" ht="17.399999999999999" x14ac:dyDescent="0.3">
      <c r="F25" s="90"/>
      <c r="G25" s="90"/>
      <c r="H25" s="90"/>
      <c r="I25" s="90"/>
      <c r="J25" s="90"/>
      <c r="K25" s="90"/>
      <c r="L25" s="91"/>
      <c r="M25" s="91"/>
      <c r="V25" s="5"/>
      <c r="W25" s="1"/>
      <c r="X25" s="1"/>
    </row>
    <row r="26" spans="1:27" ht="17.399999999999999" x14ac:dyDescent="0.3">
      <c r="F26" s="90"/>
      <c r="G26" s="90"/>
      <c r="H26" s="90"/>
      <c r="I26" s="90"/>
      <c r="J26" s="90"/>
      <c r="K26" s="90"/>
      <c r="L26" s="91"/>
      <c r="M26" s="91"/>
      <c r="V26" s="5"/>
      <c r="W26" s="1"/>
      <c r="X26" s="1"/>
    </row>
    <row r="27" spans="1:27" ht="17.399999999999999" x14ac:dyDescent="0.3">
      <c r="F27" s="92"/>
      <c r="G27" s="92"/>
      <c r="H27" s="92"/>
      <c r="I27" s="92"/>
      <c r="J27" s="92"/>
      <c r="K27" s="92"/>
      <c r="L27" s="93"/>
      <c r="M27" s="93"/>
      <c r="V27" s="5"/>
      <c r="W27" s="1"/>
      <c r="X27" s="1"/>
    </row>
    <row r="28" spans="1:27" ht="17.399999999999999" x14ac:dyDescent="0.3">
      <c r="F28" s="90"/>
      <c r="G28" s="90"/>
      <c r="H28" s="90"/>
      <c r="I28" s="90"/>
      <c r="J28" s="90"/>
      <c r="K28" s="90"/>
      <c r="L28" s="91"/>
      <c r="M28" s="91"/>
      <c r="V28" s="5"/>
      <c r="W28" s="1"/>
      <c r="X28" s="1"/>
    </row>
    <row r="29" spans="1:27" ht="17.399999999999999" x14ac:dyDescent="0.3">
      <c r="F29" s="92"/>
      <c r="G29" s="92"/>
      <c r="H29" s="92"/>
      <c r="I29" s="92"/>
      <c r="J29" s="92"/>
      <c r="K29" s="92"/>
      <c r="L29" s="91"/>
      <c r="M29" s="91"/>
      <c r="V29" s="5"/>
      <c r="W29" s="1"/>
      <c r="X29" s="1"/>
    </row>
    <row r="30" spans="1:27" ht="17.399999999999999" x14ac:dyDescent="0.3">
      <c r="F30" s="92"/>
      <c r="G30" s="92"/>
      <c r="H30" s="92"/>
      <c r="I30" s="92"/>
      <c r="J30" s="92"/>
      <c r="K30" s="92"/>
      <c r="L30" s="91"/>
      <c r="M30" s="91"/>
      <c r="V30" s="5"/>
      <c r="W30" s="1"/>
      <c r="X30" s="1"/>
    </row>
    <row r="31" spans="1:27" ht="17.399999999999999" x14ac:dyDescent="0.3">
      <c r="F31" s="90"/>
      <c r="G31" s="90"/>
      <c r="H31" s="90"/>
      <c r="I31" s="90"/>
      <c r="J31" s="90"/>
      <c r="K31" s="90"/>
      <c r="L31" s="91"/>
      <c r="M31" s="91"/>
      <c r="V31" s="5"/>
      <c r="W31" s="1"/>
      <c r="X31" s="1"/>
    </row>
    <row r="32" spans="1:27" ht="17.399999999999999" x14ac:dyDescent="0.3">
      <c r="F32" s="90"/>
      <c r="G32" s="90"/>
      <c r="H32" s="90"/>
      <c r="I32" s="90"/>
      <c r="J32" s="90"/>
      <c r="K32" s="90"/>
      <c r="L32" s="91"/>
      <c r="M32" s="91"/>
      <c r="V32" s="5"/>
      <c r="W32" s="1"/>
      <c r="X32" s="1"/>
    </row>
    <row r="33" spans="6:24" ht="17.399999999999999" x14ac:dyDescent="0.3">
      <c r="F33" s="90"/>
      <c r="G33" s="90"/>
      <c r="H33" s="90"/>
      <c r="I33" s="90"/>
      <c r="J33" s="90"/>
      <c r="K33" s="90"/>
      <c r="L33" s="91"/>
      <c r="M33" s="91"/>
      <c r="V33" s="5"/>
      <c r="W33" s="1"/>
      <c r="X33" s="1"/>
    </row>
    <row r="34" spans="6:24" ht="17.399999999999999" x14ac:dyDescent="0.3">
      <c r="F34" s="90"/>
      <c r="G34" s="90"/>
      <c r="H34" s="90"/>
      <c r="I34" s="90"/>
      <c r="J34" s="90"/>
      <c r="K34" s="90"/>
      <c r="L34" s="91"/>
      <c r="M34" s="91"/>
      <c r="V34" s="6"/>
      <c r="W34" s="1"/>
      <c r="X34" s="1"/>
    </row>
    <row r="35" spans="6:24" ht="18" x14ac:dyDescent="0.35">
      <c r="F35" s="90"/>
      <c r="G35" s="90"/>
      <c r="H35" s="90"/>
      <c r="I35" s="90"/>
      <c r="J35" s="90"/>
      <c r="K35" s="90"/>
      <c r="L35" s="91"/>
      <c r="M35" s="91"/>
      <c r="V35" s="7"/>
      <c r="W35" s="2"/>
      <c r="X35" s="2"/>
    </row>
    <row r="36" spans="6:24" ht="13.8" x14ac:dyDescent="0.25">
      <c r="F36" s="92"/>
      <c r="G36" s="92"/>
      <c r="H36" s="92"/>
      <c r="I36" s="92"/>
      <c r="J36" s="92"/>
      <c r="K36" s="92"/>
      <c r="L36" s="93"/>
      <c r="M36" s="93"/>
    </row>
  </sheetData>
  <conditionalFormatting sqref="E1">
    <cfRule type="expression" dxfId="5" priority="2">
      <formula>ISBLANK(XFD1)=FALSE</formula>
    </cfRule>
  </conditionalFormatting>
  <conditionalFormatting sqref="E11">
    <cfRule type="expression" dxfId="4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7"/>
  <sheetViews>
    <sheetView workbookViewId="0"/>
  </sheetViews>
  <sheetFormatPr defaultColWidth="9.109375" defaultRowHeight="13.2" x14ac:dyDescent="0.25"/>
  <cols>
    <col min="1" max="1" width="23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44140625" customWidth="1"/>
    <col min="12" max="12" width="11.109375" customWidth="1"/>
    <col min="13" max="23" width="10.109375" bestFit="1" customWidth="1"/>
    <col min="25" max="25" width="11" customWidth="1"/>
  </cols>
  <sheetData>
    <row r="1" spans="1:23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3" x14ac:dyDescent="0.25">
      <c r="A2" s="20" t="s">
        <v>4</v>
      </c>
      <c r="B2" s="26" t="str">
        <f t="shared" ref="B2:B8" si="0">IFERROR(((E2-F2)/F2),"")</f>
        <v/>
      </c>
      <c r="C2" s="45">
        <v>0</v>
      </c>
      <c r="D2" s="1">
        <v>0</v>
      </c>
      <c r="E2" s="106">
        <v>0</v>
      </c>
      <c r="F2" s="1">
        <v>0</v>
      </c>
      <c r="G2" s="1">
        <v>51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/>
      <c r="T2" s="1"/>
      <c r="U2" s="1"/>
      <c r="V2" s="1"/>
      <c r="W2" s="28"/>
    </row>
    <row r="3" spans="1:23" x14ac:dyDescent="0.25">
      <c r="A3" s="20" t="s">
        <v>2</v>
      </c>
      <c r="B3" s="26" t="str">
        <f t="shared" si="0"/>
        <v/>
      </c>
      <c r="C3" s="45">
        <v>-4994</v>
      </c>
      <c r="D3" s="1">
        <v>-700</v>
      </c>
      <c r="E3" s="106">
        <v>0</v>
      </c>
      <c r="F3" s="1">
        <v>0</v>
      </c>
      <c r="G3" s="1">
        <v>288</v>
      </c>
      <c r="H3" s="1">
        <v>2048</v>
      </c>
      <c r="I3" s="1">
        <v>50</v>
      </c>
      <c r="J3" s="1">
        <v>516</v>
      </c>
      <c r="K3" s="1">
        <v>100</v>
      </c>
      <c r="L3" s="1">
        <v>11</v>
      </c>
      <c r="M3" s="1">
        <v>1496</v>
      </c>
      <c r="N3" s="1">
        <v>1493</v>
      </c>
      <c r="O3" s="1">
        <v>3031</v>
      </c>
      <c r="P3" s="1">
        <v>1000</v>
      </c>
      <c r="Q3" s="1">
        <v>500</v>
      </c>
      <c r="R3" s="1">
        <v>1500</v>
      </c>
      <c r="S3" s="1"/>
      <c r="T3" s="1"/>
      <c r="U3" s="1"/>
      <c r="V3" s="1"/>
      <c r="W3" s="28"/>
    </row>
    <row r="4" spans="1:23" x14ac:dyDescent="0.25">
      <c r="A4" s="20" t="s">
        <v>3</v>
      </c>
      <c r="B4" s="26">
        <f t="shared" si="0"/>
        <v>-1</v>
      </c>
      <c r="C4" s="45">
        <v>-61</v>
      </c>
      <c r="D4" s="1">
        <v>-539</v>
      </c>
      <c r="E4" s="106">
        <v>0</v>
      </c>
      <c r="F4" s="1">
        <v>400</v>
      </c>
      <c r="G4" s="1">
        <v>694</v>
      </c>
      <c r="H4" s="1">
        <v>930</v>
      </c>
      <c r="I4" s="1">
        <v>1242</v>
      </c>
      <c r="J4" s="1">
        <v>842</v>
      </c>
      <c r="K4" s="1">
        <v>1300</v>
      </c>
      <c r="L4" s="1">
        <v>1414</v>
      </c>
      <c r="M4" s="1">
        <v>1976</v>
      </c>
      <c r="N4" s="1">
        <v>2594</v>
      </c>
      <c r="O4" s="1">
        <v>3222</v>
      </c>
      <c r="P4" s="1">
        <v>1600</v>
      </c>
      <c r="Q4" s="1">
        <v>1500</v>
      </c>
      <c r="R4" s="1">
        <v>1500</v>
      </c>
      <c r="S4" s="1"/>
      <c r="T4" s="1"/>
      <c r="U4" s="1"/>
      <c r="V4" s="1"/>
      <c r="W4" s="28"/>
    </row>
    <row r="5" spans="1:23" x14ac:dyDescent="0.25">
      <c r="A5" s="20" t="s">
        <v>108</v>
      </c>
      <c r="B5" s="26">
        <f t="shared" si="0"/>
        <v>0.20358594808714689</v>
      </c>
      <c r="C5" s="45">
        <v>-3588</v>
      </c>
      <c r="D5" s="1">
        <v>-4290</v>
      </c>
      <c r="E5" s="106">
        <v>11546</v>
      </c>
      <c r="F5" s="1">
        <v>9593</v>
      </c>
      <c r="G5" s="1">
        <v>13066</v>
      </c>
      <c r="H5" s="1">
        <v>15470</v>
      </c>
      <c r="I5" s="1">
        <v>8619</v>
      </c>
      <c r="J5" s="1">
        <v>11534</v>
      </c>
      <c r="K5" s="1">
        <v>11002</v>
      </c>
      <c r="L5" s="1">
        <v>6327</v>
      </c>
      <c r="M5" s="71">
        <v>19912</v>
      </c>
      <c r="N5" s="71">
        <v>17860</v>
      </c>
      <c r="O5" s="71">
        <v>19856</v>
      </c>
      <c r="P5" s="71">
        <v>14500</v>
      </c>
      <c r="Q5" s="71">
        <v>11000</v>
      </c>
      <c r="R5" s="71">
        <v>20000</v>
      </c>
      <c r="S5" s="71"/>
      <c r="T5" s="71"/>
      <c r="U5" s="71"/>
      <c r="V5" s="1"/>
      <c r="W5" s="28"/>
    </row>
    <row r="6" spans="1:23" x14ac:dyDescent="0.25">
      <c r="A6" s="20" t="s">
        <v>135</v>
      </c>
      <c r="B6" s="26">
        <f t="shared" si="0"/>
        <v>1.8618721461187215</v>
      </c>
      <c r="C6" s="45">
        <v>-2509</v>
      </c>
      <c r="D6" s="1">
        <v>-3115</v>
      </c>
      <c r="E6" s="106">
        <v>2507</v>
      </c>
      <c r="F6" s="1">
        <v>876</v>
      </c>
      <c r="G6" s="1">
        <v>6342</v>
      </c>
      <c r="H6" s="1">
        <v>6311</v>
      </c>
      <c r="I6" s="1">
        <v>3611</v>
      </c>
      <c r="J6" s="1">
        <v>3579</v>
      </c>
      <c r="K6" s="1">
        <v>5613</v>
      </c>
      <c r="L6" s="1"/>
      <c r="M6" s="71"/>
      <c r="N6" s="71"/>
      <c r="O6" s="71"/>
      <c r="P6" s="71"/>
      <c r="Q6" s="71"/>
      <c r="R6" s="71"/>
      <c r="S6" s="71"/>
      <c r="T6" s="71"/>
      <c r="U6" s="71"/>
      <c r="V6" s="1"/>
      <c r="W6" s="28"/>
    </row>
    <row r="7" spans="1:23" ht="13.8" thickBot="1" x14ac:dyDescent="0.3">
      <c r="A7" s="29" t="s">
        <v>59</v>
      </c>
      <c r="B7" s="27" t="str">
        <f t="shared" si="0"/>
        <v/>
      </c>
      <c r="C7" s="46">
        <v>-88</v>
      </c>
      <c r="D7" s="10">
        <v>-167</v>
      </c>
      <c r="E7" s="107">
        <v>0</v>
      </c>
      <c r="F7" s="10">
        <v>0</v>
      </c>
      <c r="G7" s="10">
        <v>181</v>
      </c>
      <c r="H7" s="10">
        <v>181</v>
      </c>
      <c r="I7" s="10">
        <v>359</v>
      </c>
      <c r="J7" s="10">
        <v>337</v>
      </c>
      <c r="K7" s="10">
        <v>500</v>
      </c>
      <c r="L7" s="10">
        <v>812</v>
      </c>
      <c r="M7" s="72">
        <v>11516</v>
      </c>
      <c r="N7" s="72">
        <v>7598</v>
      </c>
      <c r="O7" s="72">
        <v>5213</v>
      </c>
      <c r="P7" s="72">
        <v>7000</v>
      </c>
      <c r="Q7" s="72">
        <v>2000</v>
      </c>
      <c r="R7" s="72">
        <v>3000</v>
      </c>
      <c r="S7" s="72"/>
      <c r="T7" s="72"/>
      <c r="U7" s="72"/>
      <c r="V7" s="10"/>
      <c r="W7" s="30"/>
    </row>
    <row r="8" spans="1:23" ht="13.8" thickBot="1" x14ac:dyDescent="0.3">
      <c r="A8" s="31" t="s">
        <v>22</v>
      </c>
      <c r="B8" s="32">
        <f t="shared" si="0"/>
        <v>0.29294323304811848</v>
      </c>
      <c r="C8" s="124">
        <v>-11240</v>
      </c>
      <c r="D8" s="33">
        <v>-8811</v>
      </c>
      <c r="E8" s="104">
        <f t="shared" ref="E8" si="1">SUM(E2:E7)</f>
        <v>14053</v>
      </c>
      <c r="F8" s="33">
        <f t="shared" ref="F8:K8" si="2">SUM(F2:F7)</f>
        <v>10869</v>
      </c>
      <c r="G8" s="33">
        <f t="shared" si="2"/>
        <v>20622</v>
      </c>
      <c r="H8" s="33">
        <f t="shared" si="2"/>
        <v>24940</v>
      </c>
      <c r="I8" s="33">
        <f t="shared" si="2"/>
        <v>13881</v>
      </c>
      <c r="J8" s="33">
        <f t="shared" si="2"/>
        <v>16808</v>
      </c>
      <c r="K8" s="33">
        <f t="shared" si="2"/>
        <v>18515</v>
      </c>
      <c r="L8" s="33">
        <v>8564</v>
      </c>
      <c r="M8" s="33">
        <v>34900</v>
      </c>
      <c r="N8" s="33">
        <v>29545</v>
      </c>
      <c r="O8" s="33">
        <v>31322</v>
      </c>
      <c r="P8" s="33">
        <f>SUM(P2:P7)</f>
        <v>24100</v>
      </c>
      <c r="Q8" s="33">
        <f>SUM(Q2:Q7)</f>
        <v>15000</v>
      </c>
      <c r="R8" s="33">
        <f>SUM(R2:R7)</f>
        <v>26000</v>
      </c>
      <c r="S8" s="33">
        <v>0</v>
      </c>
      <c r="T8" s="33">
        <f>SUM(T2:T7)</f>
        <v>0</v>
      </c>
      <c r="U8" s="33">
        <f>SUM(U2:U7)</f>
        <v>0</v>
      </c>
      <c r="V8" s="33">
        <f>SUM(V2:V7)</f>
        <v>0</v>
      </c>
      <c r="W8" s="34">
        <f>SUM(W2:W7)</f>
        <v>0</v>
      </c>
    </row>
    <row r="9" spans="1:23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23" ht="13.8" thickBot="1" x14ac:dyDescent="0.3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23" ht="13.8" thickBot="1" x14ac:dyDescent="0.3">
      <c r="A11" s="23" t="s">
        <v>24</v>
      </c>
      <c r="B11" s="119" t="s">
        <v>170</v>
      </c>
      <c r="C11" s="96" t="s">
        <v>171</v>
      </c>
      <c r="D11" s="97" t="s">
        <v>168</v>
      </c>
      <c r="E11" s="105">
        <v>45839</v>
      </c>
      <c r="F11" s="95">
        <v>45474</v>
      </c>
      <c r="G11" s="95">
        <v>45108</v>
      </c>
      <c r="H11" s="95">
        <v>44743</v>
      </c>
      <c r="I11" s="95">
        <v>44378</v>
      </c>
      <c r="J11" s="95">
        <v>44013</v>
      </c>
      <c r="K11" s="95">
        <v>43647</v>
      </c>
      <c r="L11" s="95">
        <v>43282</v>
      </c>
      <c r="M11" s="24">
        <v>42917</v>
      </c>
      <c r="N11" s="24">
        <v>42552</v>
      </c>
      <c r="O11" s="24">
        <v>42186</v>
      </c>
      <c r="P11" s="24">
        <v>41821</v>
      </c>
      <c r="Q11" s="24">
        <v>41456</v>
      </c>
      <c r="R11" s="24">
        <v>41091</v>
      </c>
      <c r="S11" s="24">
        <v>40725</v>
      </c>
      <c r="T11" s="24">
        <v>40360</v>
      </c>
      <c r="U11" s="24">
        <v>39995</v>
      </c>
      <c r="V11" s="24">
        <v>39630</v>
      </c>
      <c r="W11" s="25">
        <v>39264</v>
      </c>
    </row>
    <row r="12" spans="1:23" x14ac:dyDescent="0.25">
      <c r="A12" s="20" t="s">
        <v>7</v>
      </c>
      <c r="B12" s="26">
        <f t="shared" ref="B12:B15" si="3">IFERROR(((E12-F12)/F12),"")</f>
        <v>-0.17224650025924004</v>
      </c>
      <c r="C12" s="45">
        <v>-17373</v>
      </c>
      <c r="D12" s="1">
        <v>-26620</v>
      </c>
      <c r="E12" s="106">
        <v>22351</v>
      </c>
      <c r="F12" s="1">
        <v>27002</v>
      </c>
      <c r="G12" s="1">
        <v>21611</v>
      </c>
      <c r="H12" s="1">
        <v>15042</v>
      </c>
      <c r="I12" s="1">
        <v>15100</v>
      </c>
      <c r="J12" s="1">
        <v>11502</v>
      </c>
      <c r="K12" s="1">
        <v>15082</v>
      </c>
      <c r="L12" s="1">
        <v>10245</v>
      </c>
      <c r="M12" s="1">
        <v>18003</v>
      </c>
      <c r="N12" s="1">
        <v>11091</v>
      </c>
      <c r="O12" s="1">
        <v>9166</v>
      </c>
      <c r="P12" s="1">
        <v>5000</v>
      </c>
      <c r="Q12" s="1">
        <v>1000</v>
      </c>
      <c r="R12" s="1">
        <v>5000</v>
      </c>
      <c r="S12" s="1"/>
      <c r="T12" s="1"/>
      <c r="U12" s="1"/>
      <c r="V12" s="1"/>
      <c r="W12" s="28"/>
    </row>
    <row r="13" spans="1:23" x14ac:dyDescent="0.25">
      <c r="A13" s="20" t="s">
        <v>102</v>
      </c>
      <c r="B13" s="26" t="str">
        <f t="shared" si="3"/>
        <v/>
      </c>
      <c r="C13" s="45">
        <v>0</v>
      </c>
      <c r="D13" s="1">
        <v>0</v>
      </c>
      <c r="E13" s="106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/>
      <c r="T13" s="1"/>
      <c r="U13" s="1"/>
      <c r="V13" s="1"/>
      <c r="W13" s="28"/>
    </row>
    <row r="14" spans="1:23" ht="13.8" thickBot="1" x14ac:dyDescent="0.3">
      <c r="A14" s="29" t="s">
        <v>6</v>
      </c>
      <c r="B14" s="27" t="str">
        <f t="shared" si="3"/>
        <v/>
      </c>
      <c r="C14" s="46">
        <v>0</v>
      </c>
      <c r="D14" s="10">
        <v>0</v>
      </c>
      <c r="E14" s="107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/>
      <c r="T14" s="10"/>
      <c r="U14" s="10"/>
      <c r="V14" s="10"/>
      <c r="W14" s="30"/>
    </row>
    <row r="15" spans="1:23" ht="13.8" thickBot="1" x14ac:dyDescent="0.3">
      <c r="A15" s="31" t="s">
        <v>22</v>
      </c>
      <c r="B15" s="32">
        <f t="shared" si="3"/>
        <v>-0.17224650025924004</v>
      </c>
      <c r="C15" s="124">
        <v>-17373</v>
      </c>
      <c r="D15" s="33">
        <v>-26620</v>
      </c>
      <c r="E15" s="104">
        <f t="shared" ref="E15" si="4">SUM(E12:E14)</f>
        <v>22351</v>
      </c>
      <c r="F15" s="33">
        <f t="shared" ref="F15:K15" si="5">SUM(F12:F14)</f>
        <v>27002</v>
      </c>
      <c r="G15" s="33">
        <f t="shared" si="5"/>
        <v>21611</v>
      </c>
      <c r="H15" s="33">
        <f t="shared" si="5"/>
        <v>15042</v>
      </c>
      <c r="I15" s="33">
        <f t="shared" si="5"/>
        <v>15100</v>
      </c>
      <c r="J15" s="33">
        <f t="shared" si="5"/>
        <v>11502</v>
      </c>
      <c r="K15" s="33">
        <f t="shared" si="5"/>
        <v>15082</v>
      </c>
      <c r="L15" s="33">
        <v>10245</v>
      </c>
      <c r="M15" s="33">
        <v>18003</v>
      </c>
      <c r="N15" s="33">
        <v>11091</v>
      </c>
      <c r="O15" s="33">
        <v>9166</v>
      </c>
      <c r="P15" s="33">
        <f>SUM(P12:P14)</f>
        <v>5000</v>
      </c>
      <c r="Q15" s="33">
        <f>SUM(Q12:Q14)</f>
        <v>1000</v>
      </c>
      <c r="R15" s="33">
        <f>SUM(R12:R14)</f>
        <v>5000</v>
      </c>
      <c r="S15" s="33">
        <v>0</v>
      </c>
      <c r="T15" s="33">
        <f>SUM(T12:T14)</f>
        <v>0</v>
      </c>
      <c r="U15" s="33">
        <f>SUM(U12:U14)</f>
        <v>0</v>
      </c>
      <c r="V15" s="33">
        <f>SUM(V12:V14)</f>
        <v>0</v>
      </c>
      <c r="W15" s="34">
        <f>SUM(W12:W14)</f>
        <v>0</v>
      </c>
    </row>
    <row r="21" spans="4:24" ht="14.4" x14ac:dyDescent="0.25">
      <c r="D21" s="157"/>
      <c r="E21" s="157"/>
    </row>
    <row r="22" spans="4:24" ht="17.399999999999999" x14ac:dyDescent="0.3">
      <c r="D22" s="158"/>
      <c r="E22" s="158"/>
      <c r="V22" s="5"/>
      <c r="W22" s="1"/>
      <c r="X22" s="1"/>
    </row>
    <row r="23" spans="4:24" ht="17.399999999999999" x14ac:dyDescent="0.3">
      <c r="D23" s="158"/>
      <c r="E23" s="158"/>
      <c r="V23" s="5"/>
      <c r="W23" s="1"/>
      <c r="X23" s="1"/>
    </row>
    <row r="24" spans="4:24" ht="17.399999999999999" x14ac:dyDescent="0.3">
      <c r="D24" s="158"/>
      <c r="E24" s="158"/>
      <c r="V24" s="5"/>
      <c r="W24" s="1"/>
      <c r="X24" s="1"/>
    </row>
    <row r="25" spans="4:24" ht="17.399999999999999" x14ac:dyDescent="0.3">
      <c r="D25" s="158"/>
      <c r="E25" s="158"/>
      <c r="V25" s="5"/>
      <c r="W25" s="1"/>
      <c r="X25" s="1"/>
    </row>
    <row r="26" spans="4:24" ht="17.399999999999999" x14ac:dyDescent="0.3">
      <c r="D26" s="158"/>
      <c r="E26" s="158"/>
      <c r="V26" s="5"/>
      <c r="W26" s="1"/>
      <c r="X26" s="1"/>
    </row>
    <row r="27" spans="4:24" ht="17.399999999999999" x14ac:dyDescent="0.3">
      <c r="D27" s="158"/>
      <c r="E27" s="158"/>
      <c r="V27" s="5"/>
      <c r="W27" s="1"/>
      <c r="X27" s="1"/>
    </row>
    <row r="28" spans="4:24" ht="17.399999999999999" x14ac:dyDescent="0.3">
      <c r="D28" s="158"/>
      <c r="E28" s="158"/>
      <c r="V28" s="5"/>
      <c r="W28" s="1"/>
      <c r="X28" s="1"/>
    </row>
    <row r="29" spans="4:24" ht="17.399999999999999" x14ac:dyDescent="0.3">
      <c r="D29" s="158"/>
      <c r="E29" s="158"/>
      <c r="V29" s="5"/>
      <c r="W29" s="1"/>
      <c r="X29" s="1"/>
    </row>
    <row r="30" spans="4:24" ht="17.399999999999999" x14ac:dyDescent="0.3">
      <c r="D30" s="158"/>
      <c r="E30" s="158"/>
      <c r="V30" s="5"/>
      <c r="W30" s="1"/>
      <c r="X30" s="1"/>
    </row>
    <row r="31" spans="4:24" ht="17.399999999999999" x14ac:dyDescent="0.3">
      <c r="D31" s="158"/>
      <c r="E31" s="158"/>
      <c r="V31" s="5"/>
      <c r="W31" s="1"/>
      <c r="X31" s="1"/>
    </row>
    <row r="32" spans="4:24" ht="17.399999999999999" x14ac:dyDescent="0.3">
      <c r="D32" s="158"/>
      <c r="E32" s="158"/>
      <c r="V32" s="6"/>
      <c r="W32" s="1"/>
      <c r="X32" s="1"/>
    </row>
    <row r="33" spans="4:24" ht="18" x14ac:dyDescent="0.35">
      <c r="D33" s="158"/>
      <c r="E33" s="158"/>
      <c r="V33" s="7"/>
      <c r="W33" s="2"/>
      <c r="X33" s="2"/>
    </row>
    <row r="34" spans="4:24" x14ac:dyDescent="0.25">
      <c r="D34" s="158"/>
      <c r="E34" s="158"/>
    </row>
    <row r="35" spans="4:24" x14ac:dyDescent="0.25">
      <c r="D35" s="158"/>
      <c r="E35" s="158"/>
    </row>
    <row r="36" spans="4:24" x14ac:dyDescent="0.25">
      <c r="D36" s="158"/>
      <c r="E36" s="158"/>
    </row>
    <row r="37" spans="4:24" x14ac:dyDescent="0.25">
      <c r="D37" s="158"/>
      <c r="E37" s="158"/>
    </row>
  </sheetData>
  <conditionalFormatting sqref="E1">
    <cfRule type="expression" dxfId="3" priority="2">
      <formula>ISBLANK(XFD1)=FALSE</formula>
    </cfRule>
  </conditionalFormatting>
  <conditionalFormatting sqref="E11">
    <cfRule type="expression" dxfId="2" priority="1">
      <formula>ISBLANK(XFD11)=FALSE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26"/>
  <sheetViews>
    <sheetView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44140625" bestFit="1" customWidth="1"/>
    <col min="4" max="12" width="11.44140625" customWidth="1"/>
    <col min="13" max="23" width="10.109375" bestFit="1" customWidth="1"/>
  </cols>
  <sheetData>
    <row r="1" spans="1:24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4" x14ac:dyDescent="0.25">
      <c r="A2" s="39" t="s">
        <v>11</v>
      </c>
      <c r="B2" s="43" t="str">
        <f t="shared" ref="B2:B12" si="0">IFERROR(((E2-F2)/F2),"")</f>
        <v/>
      </c>
      <c r="C2" s="66">
        <v>-2255</v>
      </c>
      <c r="D2" s="37">
        <v>-5</v>
      </c>
      <c r="E2" s="106">
        <v>346</v>
      </c>
      <c r="F2" s="37"/>
      <c r="G2" s="37"/>
      <c r="H2" s="37">
        <v>37</v>
      </c>
      <c r="I2" s="37"/>
      <c r="J2" s="37"/>
      <c r="K2" s="37">
        <v>39</v>
      </c>
      <c r="L2" s="37">
        <v>0</v>
      </c>
      <c r="M2" s="37"/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/>
      <c r="T2" s="37"/>
      <c r="U2" s="37"/>
      <c r="V2" s="37"/>
      <c r="W2" s="58"/>
    </row>
    <row r="3" spans="1:24" x14ac:dyDescent="0.25">
      <c r="A3" s="39" t="s">
        <v>36</v>
      </c>
      <c r="B3" s="43">
        <f t="shared" si="0"/>
        <v>5.7309644670050766</v>
      </c>
      <c r="C3" s="66">
        <v>-465</v>
      </c>
      <c r="D3" s="37">
        <v>-189</v>
      </c>
      <c r="E3" s="106">
        <v>2652</v>
      </c>
      <c r="F3" s="37">
        <v>394</v>
      </c>
      <c r="G3" s="37">
        <v>3024</v>
      </c>
      <c r="H3" s="37">
        <v>354</v>
      </c>
      <c r="I3" s="37">
        <v>3250</v>
      </c>
      <c r="J3" s="37">
        <v>2349</v>
      </c>
      <c r="K3" s="37">
        <v>4000</v>
      </c>
      <c r="L3" s="37">
        <v>3500</v>
      </c>
      <c r="M3" s="37"/>
      <c r="N3" s="37">
        <v>2000</v>
      </c>
      <c r="O3" s="37">
        <v>7000</v>
      </c>
      <c r="P3" s="37">
        <v>10200</v>
      </c>
      <c r="Q3" s="37">
        <v>2000</v>
      </c>
      <c r="R3" s="37">
        <v>2000</v>
      </c>
      <c r="S3" s="37">
        <v>4000</v>
      </c>
      <c r="T3" s="37">
        <v>6000</v>
      </c>
      <c r="U3" s="37">
        <v>11000</v>
      </c>
      <c r="V3" s="37">
        <v>0</v>
      </c>
      <c r="W3" s="58">
        <v>5000</v>
      </c>
    </row>
    <row r="4" spans="1:24" x14ac:dyDescent="0.25">
      <c r="A4" s="39" t="s">
        <v>28</v>
      </c>
      <c r="B4" s="43" t="str">
        <f t="shared" si="0"/>
        <v/>
      </c>
      <c r="C4" s="66">
        <v>-1182</v>
      </c>
      <c r="D4" s="37">
        <v>0</v>
      </c>
      <c r="E4" s="106">
        <v>312</v>
      </c>
      <c r="F4" s="37"/>
      <c r="G4" s="37">
        <v>332</v>
      </c>
      <c r="H4" s="37"/>
      <c r="I4" s="37"/>
      <c r="J4" s="37"/>
      <c r="K4" s="37"/>
      <c r="L4" s="37">
        <v>0</v>
      </c>
      <c r="M4" s="37"/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/>
      <c r="T4" s="37"/>
      <c r="U4" s="37"/>
      <c r="V4" s="37"/>
      <c r="W4" s="58"/>
    </row>
    <row r="5" spans="1:24" x14ac:dyDescent="0.25">
      <c r="A5" s="39" t="s">
        <v>5</v>
      </c>
      <c r="B5" s="43" t="str">
        <f t="shared" si="0"/>
        <v/>
      </c>
      <c r="C5" s="66">
        <v>0</v>
      </c>
      <c r="D5" s="37">
        <v>0</v>
      </c>
      <c r="E5" s="106"/>
      <c r="F5" s="37"/>
      <c r="G5" s="37"/>
      <c r="H5" s="37"/>
      <c r="I5" s="37"/>
      <c r="J5" s="37"/>
      <c r="K5" s="37"/>
      <c r="L5" s="37">
        <v>0</v>
      </c>
      <c r="M5" s="37"/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/>
      <c r="T5" s="37"/>
      <c r="U5" s="37"/>
      <c r="V5" s="37"/>
      <c r="W5" s="58"/>
    </row>
    <row r="6" spans="1:24" x14ac:dyDescent="0.25">
      <c r="A6" s="39" t="s">
        <v>9</v>
      </c>
      <c r="B6" s="43">
        <f t="shared" si="0"/>
        <v>609.66666666666663</v>
      </c>
      <c r="C6" s="66">
        <v>-5839</v>
      </c>
      <c r="D6" s="37">
        <v>-947</v>
      </c>
      <c r="E6" s="106">
        <v>1832</v>
      </c>
      <c r="F6" s="37">
        <v>3</v>
      </c>
      <c r="G6" s="37">
        <v>7156</v>
      </c>
      <c r="H6" s="37">
        <v>1133</v>
      </c>
      <c r="I6" s="37">
        <v>548</v>
      </c>
      <c r="J6" s="37">
        <v>1597</v>
      </c>
      <c r="K6" s="37">
        <v>6</v>
      </c>
      <c r="L6" s="37">
        <v>0</v>
      </c>
      <c r="M6" s="37"/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/>
      <c r="T6" s="37"/>
      <c r="U6" s="37"/>
      <c r="V6" s="37"/>
      <c r="W6" s="58"/>
    </row>
    <row r="7" spans="1:24" x14ac:dyDescent="0.25">
      <c r="A7" s="39" t="s">
        <v>26</v>
      </c>
      <c r="B7" s="43" t="str">
        <f t="shared" si="0"/>
        <v/>
      </c>
      <c r="C7" s="66">
        <v>0</v>
      </c>
      <c r="D7" s="37">
        <v>0</v>
      </c>
      <c r="E7" s="103"/>
      <c r="F7" s="37"/>
      <c r="G7" s="37"/>
      <c r="H7" s="37"/>
      <c r="I7" s="37"/>
      <c r="J7" s="37"/>
      <c r="K7" s="37"/>
      <c r="L7" s="37">
        <v>0</v>
      </c>
      <c r="M7" s="37"/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/>
      <c r="T7" s="37"/>
      <c r="U7" s="37"/>
      <c r="V7" s="37"/>
      <c r="W7" s="58"/>
      <c r="X7" s="1"/>
    </row>
    <row r="8" spans="1:24" x14ac:dyDescent="0.25">
      <c r="A8" s="39" t="s">
        <v>25</v>
      </c>
      <c r="B8" s="120" t="str">
        <f t="shared" si="0"/>
        <v/>
      </c>
      <c r="C8" s="66">
        <v>0</v>
      </c>
      <c r="D8" s="37">
        <v>0</v>
      </c>
      <c r="E8" s="103"/>
      <c r="F8" s="37"/>
      <c r="G8" s="37"/>
      <c r="H8" s="37"/>
      <c r="I8" s="37">
        <v>0</v>
      </c>
      <c r="J8" s="37">
        <v>230</v>
      </c>
      <c r="K8" s="37"/>
      <c r="L8" s="37">
        <v>0</v>
      </c>
      <c r="M8" s="37"/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/>
      <c r="T8" s="37"/>
      <c r="U8" s="37"/>
      <c r="V8" s="37"/>
      <c r="W8" s="58"/>
    </row>
    <row r="9" spans="1:24" x14ac:dyDescent="0.25">
      <c r="A9" s="39" t="s">
        <v>34</v>
      </c>
      <c r="B9" s="120" t="str">
        <f t="shared" si="0"/>
        <v/>
      </c>
      <c r="C9" s="66">
        <v>0</v>
      </c>
      <c r="D9" s="37">
        <v>0</v>
      </c>
      <c r="E9" s="103"/>
      <c r="F9" s="37"/>
      <c r="G9" s="37"/>
      <c r="H9" s="37"/>
      <c r="I9" s="37"/>
      <c r="J9" s="37"/>
      <c r="K9" s="37"/>
      <c r="L9" s="37">
        <v>0</v>
      </c>
      <c r="M9" s="37"/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/>
      <c r="T9" s="37"/>
      <c r="U9" s="37"/>
      <c r="V9" s="37"/>
      <c r="W9" s="58"/>
    </row>
    <row r="10" spans="1:24" x14ac:dyDescent="0.25">
      <c r="A10" s="39" t="s">
        <v>135</v>
      </c>
      <c r="B10" s="120" t="str">
        <f t="shared" si="0"/>
        <v/>
      </c>
      <c r="C10" s="66">
        <v>-2584</v>
      </c>
      <c r="D10" s="37">
        <v>-1156</v>
      </c>
      <c r="E10" s="103"/>
      <c r="F10" s="37"/>
      <c r="G10" s="37"/>
      <c r="H10" s="37"/>
      <c r="I10" s="37">
        <v>1035</v>
      </c>
      <c r="J10" s="37">
        <v>267</v>
      </c>
      <c r="K10" s="37">
        <v>516</v>
      </c>
      <c r="L10" s="37">
        <v>0</v>
      </c>
      <c r="M10" s="37"/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/>
      <c r="T10" s="37"/>
      <c r="U10" s="37"/>
      <c r="V10" s="37"/>
      <c r="W10" s="58"/>
    </row>
    <row r="11" spans="1:24" ht="13.8" thickBot="1" x14ac:dyDescent="0.3">
      <c r="A11" s="40" t="s">
        <v>6</v>
      </c>
      <c r="B11" s="120">
        <f t="shared" si="0"/>
        <v>1.3605577689243027</v>
      </c>
      <c r="C11" s="66">
        <v>1184</v>
      </c>
      <c r="D11" s="37">
        <v>502</v>
      </c>
      <c r="E11" s="106">
        <f>1042+143</f>
        <v>1185</v>
      </c>
      <c r="F11" s="37">
        <v>502</v>
      </c>
      <c r="G11" s="37">
        <v>904</v>
      </c>
      <c r="H11" s="37">
        <v>1197</v>
      </c>
      <c r="I11" s="37"/>
      <c r="J11" s="37"/>
      <c r="K11" s="37">
        <v>23</v>
      </c>
      <c r="L11" s="37">
        <v>0</v>
      </c>
      <c r="M11" s="36"/>
      <c r="N11" s="37">
        <v>180</v>
      </c>
      <c r="O11" s="37">
        <v>0</v>
      </c>
      <c r="P11" s="37">
        <v>0</v>
      </c>
      <c r="Q11" s="37">
        <v>0</v>
      </c>
      <c r="R11" s="37">
        <v>0</v>
      </c>
      <c r="S11" s="37"/>
      <c r="T11" s="37"/>
      <c r="U11" s="37"/>
      <c r="V11" s="37"/>
      <c r="W11" s="59"/>
    </row>
    <row r="12" spans="1:24" s="8" customFormat="1" ht="13.8" thickBot="1" x14ac:dyDescent="0.3">
      <c r="A12" s="41" t="s">
        <v>93</v>
      </c>
      <c r="B12" s="159">
        <f t="shared" si="0"/>
        <v>6.0378197997775302</v>
      </c>
      <c r="C12" s="63">
        <v>-11141</v>
      </c>
      <c r="D12" s="42">
        <v>-1795</v>
      </c>
      <c r="E12" s="108">
        <f>SUM(E2:E11)</f>
        <v>6327</v>
      </c>
      <c r="F12" s="42">
        <f t="shared" ref="F12:L12" si="1">SUM(F2:F11)</f>
        <v>899</v>
      </c>
      <c r="G12" s="42">
        <f t="shared" si="1"/>
        <v>11416</v>
      </c>
      <c r="H12" s="42">
        <f t="shared" si="1"/>
        <v>2721</v>
      </c>
      <c r="I12" s="42">
        <f t="shared" si="1"/>
        <v>4833</v>
      </c>
      <c r="J12" s="42">
        <f t="shared" si="1"/>
        <v>4443</v>
      </c>
      <c r="K12" s="42">
        <f t="shared" si="1"/>
        <v>4584</v>
      </c>
      <c r="L12" s="42">
        <f t="shared" si="1"/>
        <v>3500</v>
      </c>
      <c r="M12" s="42"/>
      <c r="N12" s="42">
        <f>SUM(N2:N11)</f>
        <v>2180</v>
      </c>
      <c r="O12" s="42">
        <f>SUM(O2:O11)</f>
        <v>7000</v>
      </c>
      <c r="P12" s="42">
        <f>SUM(P2:P11)</f>
        <v>10200</v>
      </c>
      <c r="Q12" s="42">
        <f>SUM(Q2:Q11)</f>
        <v>2000</v>
      </c>
      <c r="R12" s="42">
        <f t="shared" ref="R12:W12" si="2">SUM(R2:R11)</f>
        <v>2000</v>
      </c>
      <c r="S12" s="42">
        <f t="shared" si="2"/>
        <v>4000</v>
      </c>
      <c r="T12" s="42">
        <f t="shared" si="2"/>
        <v>6000</v>
      </c>
      <c r="U12" s="42">
        <f t="shared" si="2"/>
        <v>11000</v>
      </c>
      <c r="V12" s="42">
        <f t="shared" si="2"/>
        <v>0</v>
      </c>
      <c r="W12" s="34">
        <f t="shared" si="2"/>
        <v>5000</v>
      </c>
    </row>
    <row r="13" spans="1:24" x14ac:dyDescent="0.25">
      <c r="B13" s="140"/>
    </row>
    <row r="14" spans="1:24" ht="13.8" thickBot="1" x14ac:dyDescent="0.3">
      <c r="B14" s="14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4" s="47" customFormat="1" ht="13.8" thickBot="1" x14ac:dyDescent="0.3">
      <c r="A15" s="48" t="s">
        <v>92</v>
      </c>
      <c r="B15" s="119" t="s">
        <v>170</v>
      </c>
      <c r="C15" s="96" t="s">
        <v>171</v>
      </c>
      <c r="D15" s="97" t="s">
        <v>168</v>
      </c>
      <c r="E15" s="105">
        <v>45839</v>
      </c>
      <c r="F15" s="95">
        <v>45474</v>
      </c>
      <c r="G15" s="95">
        <v>45108</v>
      </c>
      <c r="H15" s="95">
        <v>44743</v>
      </c>
      <c r="I15" s="95">
        <v>44378</v>
      </c>
      <c r="J15" s="95">
        <v>44013</v>
      </c>
      <c r="K15" s="95">
        <v>43647</v>
      </c>
      <c r="L15" s="95">
        <v>43282</v>
      </c>
      <c r="M15" s="24">
        <v>42917</v>
      </c>
      <c r="N15" s="24">
        <v>42552</v>
      </c>
      <c r="O15" s="24">
        <v>42186</v>
      </c>
      <c r="P15" s="24">
        <v>41821</v>
      </c>
      <c r="Q15" s="24">
        <v>41456</v>
      </c>
      <c r="R15" s="24">
        <v>41091</v>
      </c>
      <c r="S15" s="24">
        <v>40725</v>
      </c>
      <c r="T15" s="24">
        <v>40360</v>
      </c>
      <c r="U15" s="24">
        <v>39995</v>
      </c>
      <c r="V15" s="24">
        <v>39630</v>
      </c>
      <c r="W15" s="25">
        <v>39264</v>
      </c>
    </row>
    <row r="16" spans="1:24" s="47" customFormat="1" x14ac:dyDescent="0.25">
      <c r="A16" s="49" t="s">
        <v>7</v>
      </c>
      <c r="B16" s="128" t="str">
        <f t="shared" ref="B16:B19" si="3">IFERROR(((E16-F16)/F16),"")</f>
        <v/>
      </c>
      <c r="C16" s="127">
        <v>-332</v>
      </c>
      <c r="D16" s="51">
        <v>-13</v>
      </c>
      <c r="E16" s="106">
        <v>46</v>
      </c>
      <c r="F16" s="51"/>
      <c r="G16" s="51">
        <v>40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/>
      <c r="N16" s="51">
        <v>0</v>
      </c>
      <c r="O16" s="51">
        <v>150</v>
      </c>
      <c r="P16" s="51">
        <v>300</v>
      </c>
      <c r="Q16" s="51">
        <v>100</v>
      </c>
      <c r="R16" s="51">
        <v>0</v>
      </c>
      <c r="S16" s="51">
        <v>200</v>
      </c>
      <c r="T16" s="51">
        <v>0</v>
      </c>
      <c r="U16" s="51">
        <v>0</v>
      </c>
      <c r="V16" s="51">
        <v>0</v>
      </c>
      <c r="W16" s="60">
        <v>0</v>
      </c>
    </row>
    <row r="17" spans="1:23" s="47" customFormat="1" x14ac:dyDescent="0.25">
      <c r="A17" s="49" t="s">
        <v>94</v>
      </c>
      <c r="B17" s="128" t="str">
        <f t="shared" si="3"/>
        <v/>
      </c>
      <c r="C17" s="127">
        <v>0</v>
      </c>
      <c r="D17" s="51">
        <v>0</v>
      </c>
      <c r="E17" s="106"/>
      <c r="F17" s="51"/>
      <c r="G17" s="51"/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/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60">
        <v>0</v>
      </c>
    </row>
    <row r="18" spans="1:23" s="47" customFormat="1" ht="13.8" thickBot="1" x14ac:dyDescent="0.3">
      <c r="A18" s="52" t="s">
        <v>6</v>
      </c>
      <c r="B18" s="146" t="str">
        <f t="shared" si="3"/>
        <v/>
      </c>
      <c r="C18" s="127">
        <v>0</v>
      </c>
      <c r="D18" s="51">
        <v>0</v>
      </c>
      <c r="E18" s="106"/>
      <c r="F18" s="51"/>
      <c r="G18" s="51"/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4"/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61">
        <v>0</v>
      </c>
    </row>
    <row r="19" spans="1:23" s="69" customFormat="1" ht="13.8" thickBot="1" x14ac:dyDescent="0.3">
      <c r="A19" s="55" t="s">
        <v>93</v>
      </c>
      <c r="B19" s="56" t="str">
        <f t="shared" si="3"/>
        <v/>
      </c>
      <c r="C19" s="141">
        <v>-332</v>
      </c>
      <c r="D19" s="75">
        <v>-13</v>
      </c>
      <c r="E19" s="101">
        <f t="shared" ref="E19" si="4">SUM(E16:E18)</f>
        <v>46</v>
      </c>
      <c r="F19" s="75">
        <f>SUM(F16:F18)</f>
        <v>0</v>
      </c>
      <c r="G19" s="75">
        <f>SUM(G16:G18)</f>
        <v>40</v>
      </c>
      <c r="H19" s="75">
        <f>SUM(H16:H18)</f>
        <v>0</v>
      </c>
      <c r="I19" s="75">
        <f>SUM(I16:I18)</f>
        <v>0</v>
      </c>
      <c r="J19" s="75">
        <v>0</v>
      </c>
      <c r="K19" s="75">
        <v>0</v>
      </c>
      <c r="L19" s="75">
        <f>SUM(L16:L18)</f>
        <v>0</v>
      </c>
      <c r="M19" s="75"/>
      <c r="N19" s="75">
        <f>SUM(N16:N18)</f>
        <v>0</v>
      </c>
      <c r="O19" s="75">
        <f>SUM(O16:O18)</f>
        <v>150</v>
      </c>
      <c r="P19" s="75">
        <f>SUM(P16:P18)</f>
        <v>300</v>
      </c>
      <c r="Q19" s="75">
        <f>SUM(Q16:Q18)</f>
        <v>100</v>
      </c>
      <c r="R19" s="75">
        <f t="shared" ref="R19:W19" si="5">SUM(R16:R18)</f>
        <v>0</v>
      </c>
      <c r="S19" s="75">
        <f t="shared" si="5"/>
        <v>200</v>
      </c>
      <c r="T19" s="75">
        <f t="shared" si="5"/>
        <v>0</v>
      </c>
      <c r="U19" s="75">
        <f t="shared" si="5"/>
        <v>0</v>
      </c>
      <c r="V19" s="75">
        <f t="shared" si="5"/>
        <v>0</v>
      </c>
      <c r="W19" s="76">
        <f t="shared" si="5"/>
        <v>0</v>
      </c>
    </row>
    <row r="20" spans="1:23" s="47" customFormat="1" x14ac:dyDescent="0.25"/>
    <row r="21" spans="1:23" s="47" customFormat="1" x14ac:dyDescent="0.25">
      <c r="A21" s="47" t="s">
        <v>160</v>
      </c>
      <c r="F21" s="51"/>
      <c r="G21" s="51"/>
      <c r="H21" s="51"/>
      <c r="I21" s="51"/>
      <c r="J21" s="51"/>
    </row>
    <row r="22" spans="1:23" s="47" customFormat="1" x14ac:dyDescent="0.25">
      <c r="F22" s="51"/>
      <c r="G22" s="51"/>
      <c r="H22" s="51"/>
    </row>
    <row r="23" spans="1:23" x14ac:dyDescent="0.25">
      <c r="H23" s="1"/>
      <c r="I23" s="1"/>
    </row>
    <row r="24" spans="1:23" x14ac:dyDescent="0.25">
      <c r="E24" s="1"/>
    </row>
    <row r="26" spans="1:23" x14ac:dyDescent="0.25">
      <c r="F26" s="1"/>
      <c r="G26" s="1"/>
    </row>
  </sheetData>
  <conditionalFormatting sqref="E1">
    <cfRule type="expression" dxfId="1" priority="2">
      <formula>ISBLANK(XFD1)=FALSE</formula>
    </cfRule>
  </conditionalFormatting>
  <conditionalFormatting sqref="E15">
    <cfRule type="expression" dxfId="0" priority="1">
      <formula>ISBLANK(XFD15)=FALSE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59"/>
  <sheetViews>
    <sheetView tabSelected="1" zoomScaleNormal="100" workbookViewId="0"/>
  </sheetViews>
  <sheetFormatPr defaultColWidth="9.109375" defaultRowHeight="13.2" x14ac:dyDescent="0.25"/>
  <cols>
    <col min="1" max="1" width="29.109375" customWidth="1"/>
    <col min="2" max="2" width="10.6640625" customWidth="1"/>
    <col min="3" max="3" width="11.44140625" bestFit="1" customWidth="1"/>
    <col min="4" max="11" width="11.44140625" customWidth="1"/>
    <col min="12" max="12" width="11.6640625" customWidth="1"/>
    <col min="13" max="23" width="10.109375" bestFit="1" customWidth="1"/>
  </cols>
  <sheetData>
    <row r="1" spans="1:28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8" x14ac:dyDescent="0.25">
      <c r="A2" s="20" t="s">
        <v>11</v>
      </c>
      <c r="B2" s="26" t="str">
        <f t="shared" ref="B2:B27" si="0">IFERROR(((E2-F2)/F2),"")</f>
        <v/>
      </c>
      <c r="C2" s="45">
        <v>0</v>
      </c>
      <c r="D2" s="1">
        <v>0</v>
      </c>
      <c r="E2" s="10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8"/>
      <c r="AA2" s="1"/>
      <c r="AB2" s="1"/>
    </row>
    <row r="3" spans="1:28" x14ac:dyDescent="0.25">
      <c r="A3" s="20" t="s">
        <v>32</v>
      </c>
      <c r="B3" s="26" t="str">
        <f t="shared" si="0"/>
        <v/>
      </c>
      <c r="C3" s="45">
        <v>-176.67785685396001</v>
      </c>
      <c r="D3" s="1">
        <v>-783.29596316663992</v>
      </c>
      <c r="E3" s="106">
        <v>423.86301888546001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8"/>
      <c r="AA3" s="1"/>
      <c r="AB3" s="1"/>
    </row>
    <row r="4" spans="1:28" x14ac:dyDescent="0.25">
      <c r="A4" s="39" t="s">
        <v>163</v>
      </c>
      <c r="B4" s="26" t="str">
        <f t="shared" si="0"/>
        <v/>
      </c>
      <c r="C4" s="45">
        <v>-17835.242916552597</v>
      </c>
      <c r="D4" s="1">
        <v>-76040.233071462659</v>
      </c>
      <c r="E4" s="106">
        <v>84531.476794754213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8"/>
      <c r="AA4" s="1"/>
      <c r="AB4" s="1"/>
    </row>
    <row r="5" spans="1:28" x14ac:dyDescent="0.25">
      <c r="A5" s="20" t="s">
        <v>49</v>
      </c>
      <c r="B5" s="26" t="str">
        <f t="shared" si="0"/>
        <v/>
      </c>
      <c r="C5" s="45">
        <v>-500.21894408177991</v>
      </c>
      <c r="D5" s="1">
        <v>-2350.0021947771597</v>
      </c>
      <c r="E5" s="106">
        <v>1113.3143494380599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8"/>
      <c r="AA5" s="1"/>
      <c r="AB5" s="1"/>
    </row>
    <row r="6" spans="1:28" x14ac:dyDescent="0.25">
      <c r="A6" s="20" t="s">
        <v>12</v>
      </c>
      <c r="B6" s="26" t="str">
        <f t="shared" si="0"/>
        <v/>
      </c>
      <c r="C6" s="45">
        <v>-22368.666415409163</v>
      </c>
      <c r="D6" s="1">
        <v>-75872.623433269735</v>
      </c>
      <c r="E6" s="106">
        <v>47924.811690173876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8"/>
      <c r="AA6" s="1"/>
      <c r="AB6" s="1"/>
    </row>
    <row r="7" spans="1:28" x14ac:dyDescent="0.25">
      <c r="A7" s="20" t="s">
        <v>9</v>
      </c>
      <c r="B7" s="26" t="str">
        <f t="shared" si="0"/>
        <v/>
      </c>
      <c r="C7" s="45">
        <v>-39373.386238415464</v>
      </c>
      <c r="D7" s="1">
        <v>-106615.73262951072</v>
      </c>
      <c r="E7" s="106">
        <v>72903.63911135844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8"/>
      <c r="AA7" s="1"/>
      <c r="AB7" s="1"/>
    </row>
    <row r="8" spans="1:28" x14ac:dyDescent="0.25">
      <c r="A8" s="20" t="s">
        <v>3</v>
      </c>
      <c r="B8" s="26" t="str">
        <f t="shared" si="0"/>
        <v/>
      </c>
      <c r="C8" s="45">
        <v>-9176.294300670419</v>
      </c>
      <c r="D8" s="1">
        <v>-27607.105813402501</v>
      </c>
      <c r="E8" s="106">
        <v>18584.742619415279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8"/>
      <c r="AA8" s="1"/>
      <c r="AB8" s="1"/>
    </row>
    <row r="9" spans="1:28" x14ac:dyDescent="0.25">
      <c r="A9" s="20" t="s">
        <v>17</v>
      </c>
      <c r="B9" s="26" t="str">
        <f t="shared" si="0"/>
        <v/>
      </c>
      <c r="C9" s="45">
        <v>-29828.743181839134</v>
      </c>
      <c r="D9" s="1">
        <v>-105396.93356005968</v>
      </c>
      <c r="E9" s="106">
        <v>70039.14886372404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8"/>
      <c r="AA9" s="1"/>
      <c r="AB9" s="1"/>
    </row>
    <row r="10" spans="1:28" x14ac:dyDescent="0.25">
      <c r="A10" s="20" t="s">
        <v>172</v>
      </c>
      <c r="B10" s="26" t="str">
        <f t="shared" si="0"/>
        <v/>
      </c>
      <c r="C10" s="45">
        <v>-17041.526122277577</v>
      </c>
      <c r="D10" s="1">
        <v>-94993.57210821785</v>
      </c>
      <c r="E10" s="106">
        <v>29092.293331461358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8"/>
      <c r="AA10" s="1"/>
      <c r="AB10" s="1"/>
    </row>
    <row r="11" spans="1:28" x14ac:dyDescent="0.25">
      <c r="A11" s="21" t="s">
        <v>10</v>
      </c>
      <c r="B11" s="26" t="str">
        <f t="shared" si="0"/>
        <v/>
      </c>
      <c r="C11" s="45">
        <v>0.36196671126000979</v>
      </c>
      <c r="D11" s="1">
        <v>-1076.67950808264</v>
      </c>
      <c r="E11" s="106">
        <v>206.75919564762</v>
      </c>
      <c r="F11" s="1"/>
      <c r="G11" s="1"/>
      <c r="H11" s="1"/>
      <c r="I11" s="1"/>
      <c r="J11" s="1"/>
      <c r="K11" s="1"/>
      <c r="L11" s="1"/>
      <c r="M11" s="71"/>
      <c r="N11" s="71"/>
      <c r="O11" s="71"/>
      <c r="P11" s="71"/>
      <c r="Q11" s="71"/>
      <c r="R11" s="71"/>
      <c r="S11" s="71"/>
      <c r="T11" s="71"/>
      <c r="U11" s="71"/>
      <c r="V11" s="1"/>
      <c r="W11" s="28"/>
      <c r="AA11" s="1"/>
      <c r="AB11" s="1"/>
    </row>
    <row r="12" spans="1:28" x14ac:dyDescent="0.25">
      <c r="A12" s="21" t="s">
        <v>26</v>
      </c>
      <c r="B12" s="26" t="str">
        <f t="shared" si="0"/>
        <v/>
      </c>
      <c r="C12" s="45">
        <v>0</v>
      </c>
      <c r="D12" s="1">
        <v>0</v>
      </c>
      <c r="E12" s="106"/>
      <c r="F12" s="1"/>
      <c r="G12" s="1"/>
      <c r="H12" s="1"/>
      <c r="I12" s="1"/>
      <c r="J12" s="1"/>
      <c r="K12" s="1"/>
      <c r="L12" s="1"/>
      <c r="M12" s="71"/>
      <c r="N12" s="71"/>
      <c r="O12" s="71"/>
      <c r="P12" s="71"/>
      <c r="Q12" s="71"/>
      <c r="R12" s="71"/>
      <c r="S12" s="71"/>
      <c r="T12" s="71"/>
      <c r="U12" s="71"/>
      <c r="V12" s="1"/>
      <c r="W12" s="28"/>
      <c r="AA12" s="1"/>
      <c r="AB12" s="1"/>
    </row>
    <row r="13" spans="1:28" x14ac:dyDescent="0.25">
      <c r="A13" s="21" t="s">
        <v>50</v>
      </c>
      <c r="B13" s="26" t="str">
        <f t="shared" si="0"/>
        <v/>
      </c>
      <c r="C13" s="45">
        <v>-61.496239155120008</v>
      </c>
      <c r="D13" s="1">
        <v>-250.04279396249999</v>
      </c>
      <c r="E13" s="106">
        <v>161.09423739023998</v>
      </c>
      <c r="F13" s="1"/>
      <c r="G13" s="1"/>
      <c r="H13" s="1"/>
      <c r="I13" s="1"/>
      <c r="J13" s="1"/>
      <c r="K13" s="1"/>
      <c r="L13" s="1"/>
      <c r="M13" s="71"/>
      <c r="N13" s="71"/>
      <c r="O13" s="71"/>
      <c r="P13" s="71"/>
      <c r="Q13" s="71"/>
      <c r="R13" s="71"/>
      <c r="S13" s="71"/>
      <c r="T13" s="71"/>
      <c r="U13" s="71"/>
      <c r="V13" s="1"/>
      <c r="W13" s="28"/>
      <c r="AA13" s="1"/>
      <c r="AB13" s="1"/>
    </row>
    <row r="14" spans="1:28" x14ac:dyDescent="0.25">
      <c r="A14" s="21" t="s">
        <v>51</v>
      </c>
      <c r="B14" s="26" t="str">
        <f t="shared" si="0"/>
        <v/>
      </c>
      <c r="C14" s="45">
        <v>-1760.3393712550806</v>
      </c>
      <c r="D14" s="1">
        <v>-4397.34306630234</v>
      </c>
      <c r="E14" s="106">
        <v>2590.6529051264397</v>
      </c>
      <c r="F14" s="1"/>
      <c r="G14" s="1"/>
      <c r="H14" s="1"/>
      <c r="I14" s="1"/>
      <c r="J14" s="1"/>
      <c r="K14" s="1"/>
      <c r="L14" s="1"/>
      <c r="M14" s="71"/>
      <c r="N14" s="71"/>
      <c r="O14" s="71"/>
      <c r="P14" s="71"/>
      <c r="Q14" s="71"/>
      <c r="R14" s="71"/>
      <c r="S14" s="71"/>
      <c r="T14" s="71"/>
      <c r="U14" s="71"/>
      <c r="V14" s="1"/>
      <c r="W14" s="28"/>
      <c r="AA14" s="1"/>
      <c r="AB14" s="1"/>
    </row>
    <row r="15" spans="1:28" x14ac:dyDescent="0.25">
      <c r="A15" s="21" t="s">
        <v>52</v>
      </c>
      <c r="B15" s="26" t="str">
        <f t="shared" si="0"/>
        <v/>
      </c>
      <c r="C15" s="45">
        <v>-49.932355274339997</v>
      </c>
      <c r="D15" s="1">
        <v>-379.36016428002</v>
      </c>
      <c r="E15" s="106">
        <v>38.44467491172</v>
      </c>
      <c r="F15" s="1"/>
      <c r="G15" s="1"/>
      <c r="H15" s="1"/>
      <c r="I15" s="1"/>
      <c r="J15" s="1"/>
      <c r="K15" s="1"/>
      <c r="L15" s="1"/>
      <c r="M15" s="71"/>
      <c r="N15" s="71"/>
      <c r="O15" s="71"/>
      <c r="P15" s="71"/>
      <c r="Q15" s="71"/>
      <c r="R15" s="71"/>
      <c r="S15" s="71"/>
      <c r="T15" s="71"/>
      <c r="U15" s="71"/>
      <c r="V15" s="1"/>
      <c r="W15" s="28"/>
      <c r="AA15" s="1"/>
      <c r="AB15" s="1"/>
    </row>
    <row r="16" spans="1:28" x14ac:dyDescent="0.25">
      <c r="A16" s="21" t="s">
        <v>53</v>
      </c>
      <c r="B16" s="26" t="str">
        <f t="shared" si="0"/>
        <v/>
      </c>
      <c r="C16" s="45">
        <v>-64.43007460427998</v>
      </c>
      <c r="D16" s="1">
        <v>-320.87396409221998</v>
      </c>
      <c r="E16" s="106">
        <v>168.79079272440001</v>
      </c>
      <c r="F16" s="1"/>
      <c r="G16" s="1"/>
      <c r="H16" s="1"/>
      <c r="I16" s="1"/>
      <c r="J16" s="1"/>
      <c r="K16" s="1"/>
      <c r="L16" s="1"/>
      <c r="M16" s="71"/>
      <c r="N16" s="71"/>
      <c r="O16" s="71"/>
      <c r="P16" s="71"/>
      <c r="Q16" s="71"/>
      <c r="R16" s="71"/>
      <c r="S16" s="71"/>
      <c r="T16" s="71"/>
      <c r="U16" s="71"/>
      <c r="V16" s="1"/>
      <c r="W16" s="28"/>
      <c r="AA16" s="1"/>
      <c r="AB16" s="1"/>
    </row>
    <row r="17" spans="1:28" x14ac:dyDescent="0.25">
      <c r="A17" s="21" t="s">
        <v>54</v>
      </c>
      <c r="B17" s="26" t="str">
        <f t="shared" si="0"/>
        <v/>
      </c>
      <c r="C17" s="45">
        <v>72184.201696409873</v>
      </c>
      <c r="D17" s="1">
        <v>0</v>
      </c>
      <c r="E17" s="106">
        <v>72184.201696409873</v>
      </c>
      <c r="F17" s="1"/>
      <c r="G17" s="1"/>
      <c r="H17" s="1"/>
      <c r="I17" s="1"/>
      <c r="J17" s="1"/>
      <c r="K17" s="1"/>
      <c r="L17" s="1"/>
      <c r="M17" s="71"/>
      <c r="N17" s="71"/>
      <c r="O17" s="71"/>
      <c r="P17" s="71"/>
      <c r="Q17" s="71"/>
      <c r="R17" s="71"/>
      <c r="S17" s="71"/>
      <c r="T17" s="71"/>
      <c r="U17" s="71"/>
      <c r="V17" s="1"/>
      <c r="W17" s="28"/>
      <c r="AA17" s="1"/>
      <c r="AB17" s="1"/>
    </row>
    <row r="18" spans="1:28" x14ac:dyDescent="0.25">
      <c r="A18" s="20" t="s">
        <v>61</v>
      </c>
      <c r="B18" s="26" t="str">
        <f t="shared" si="0"/>
        <v/>
      </c>
      <c r="C18" s="45">
        <v>-91016.015172579413</v>
      </c>
      <c r="D18" s="1">
        <v>-60013.642556678577</v>
      </c>
      <c r="E18" s="10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8"/>
      <c r="AA18" s="1"/>
      <c r="AB18" s="1"/>
    </row>
    <row r="19" spans="1:28" x14ac:dyDescent="0.25">
      <c r="A19" s="21" t="s">
        <v>19</v>
      </c>
      <c r="B19" s="26" t="str">
        <f t="shared" si="0"/>
        <v/>
      </c>
      <c r="C19" s="45">
        <v>-34503.695664798361</v>
      </c>
      <c r="D19" s="1">
        <v>-141228.18976560293</v>
      </c>
      <c r="E19" s="106">
        <v>91040.45745102923</v>
      </c>
      <c r="F19" s="1"/>
      <c r="G19" s="1"/>
      <c r="H19" s="1"/>
      <c r="I19" s="1"/>
      <c r="J19" s="1"/>
      <c r="K19" s="1"/>
      <c r="L19" s="1"/>
      <c r="M19" s="71"/>
      <c r="N19" s="71"/>
      <c r="O19" s="71"/>
      <c r="P19" s="71"/>
      <c r="Q19" s="71"/>
      <c r="R19" s="71"/>
      <c r="S19" s="71"/>
      <c r="T19" s="71"/>
      <c r="U19" s="71"/>
      <c r="V19" s="1"/>
      <c r="W19" s="28"/>
      <c r="AA19" s="1"/>
      <c r="AB19" s="1"/>
    </row>
    <row r="20" spans="1:28" x14ac:dyDescent="0.25">
      <c r="A20" s="21" t="s">
        <v>55</v>
      </c>
      <c r="B20" s="26" t="str">
        <f t="shared" si="0"/>
        <v/>
      </c>
      <c r="C20" s="45">
        <v>-176.03012694959997</v>
      </c>
      <c r="D20" s="1">
        <v>-788.91597263094002</v>
      </c>
      <c r="E20" s="106">
        <v>184.793531538</v>
      </c>
      <c r="F20" s="1"/>
      <c r="G20" s="1"/>
      <c r="H20" s="1"/>
      <c r="I20" s="1"/>
      <c r="J20" s="1"/>
      <c r="K20" s="1"/>
      <c r="L20" s="1"/>
      <c r="M20" s="71"/>
      <c r="N20" s="71"/>
      <c r="O20" s="71"/>
      <c r="P20" s="71"/>
      <c r="Q20" s="71"/>
      <c r="R20" s="71"/>
      <c r="S20" s="71"/>
      <c r="T20" s="71"/>
      <c r="U20" s="71"/>
      <c r="V20" s="1"/>
      <c r="W20" s="28"/>
      <c r="AA20" s="1"/>
      <c r="AB20" s="1"/>
    </row>
    <row r="21" spans="1:28" x14ac:dyDescent="0.25">
      <c r="A21" s="21" t="s">
        <v>56</v>
      </c>
      <c r="B21" s="26" t="str">
        <f t="shared" si="0"/>
        <v/>
      </c>
      <c r="C21" s="45">
        <v>-8.8586589861000107</v>
      </c>
      <c r="D21" s="1">
        <v>-33.224733917759998</v>
      </c>
      <c r="E21" s="106">
        <v>459.04999339583998</v>
      </c>
      <c r="F21" s="1"/>
      <c r="G21" s="1"/>
      <c r="H21" s="1"/>
      <c r="I21" s="1"/>
      <c r="J21" s="1"/>
      <c r="K21" s="1"/>
      <c r="L21" s="1"/>
      <c r="M21" s="71"/>
      <c r="N21" s="71"/>
      <c r="O21" s="71"/>
      <c r="P21" s="71"/>
      <c r="Q21" s="71"/>
      <c r="R21" s="71"/>
      <c r="S21" s="71"/>
      <c r="T21" s="71"/>
      <c r="U21" s="71"/>
      <c r="V21" s="1"/>
      <c r="W21" s="28"/>
      <c r="AA21" s="1"/>
      <c r="AB21" s="1"/>
    </row>
    <row r="22" spans="1:28" x14ac:dyDescent="0.25">
      <c r="A22" s="21" t="s">
        <v>34</v>
      </c>
      <c r="B22" s="26" t="str">
        <f t="shared" si="0"/>
        <v/>
      </c>
      <c r="C22" s="45">
        <v>-598.75009306265997</v>
      </c>
      <c r="D22" s="1">
        <v>-1376.5975046808599</v>
      </c>
      <c r="E22" s="106">
        <v>142.65298599552</v>
      </c>
      <c r="F22" s="1"/>
      <c r="G22" s="1"/>
      <c r="H22" s="1"/>
      <c r="I22" s="1"/>
      <c r="J22" s="1"/>
      <c r="K22" s="1"/>
      <c r="L22" s="1"/>
      <c r="M22" s="71"/>
      <c r="N22" s="71"/>
      <c r="O22" s="71"/>
      <c r="P22" s="71"/>
      <c r="Q22" s="71"/>
      <c r="R22" s="71"/>
      <c r="S22" s="71"/>
      <c r="T22" s="71"/>
      <c r="U22" s="71"/>
      <c r="V22" s="1"/>
      <c r="W22" s="28"/>
      <c r="AA22" s="1"/>
      <c r="AB22" s="1"/>
    </row>
    <row r="23" spans="1:28" x14ac:dyDescent="0.25">
      <c r="A23" s="21" t="s">
        <v>21</v>
      </c>
      <c r="B23" s="26" t="str">
        <f t="shared" si="0"/>
        <v/>
      </c>
      <c r="C23" s="45">
        <v>-19.412846251260007</v>
      </c>
      <c r="D23" s="1">
        <v>-67.173401258040002</v>
      </c>
      <c r="E23" s="106">
        <v>50.846797492259995</v>
      </c>
      <c r="F23" s="1"/>
      <c r="G23" s="1"/>
      <c r="H23" s="1"/>
      <c r="I23" s="1"/>
      <c r="J23" s="1"/>
      <c r="K23" s="1"/>
      <c r="L23" s="1"/>
      <c r="M23" s="71"/>
      <c r="N23" s="71"/>
      <c r="O23" s="71"/>
      <c r="P23" s="71"/>
      <c r="Q23" s="71"/>
      <c r="R23" s="71"/>
      <c r="S23" s="71"/>
      <c r="T23" s="71"/>
      <c r="U23" s="71"/>
      <c r="V23" s="1"/>
      <c r="W23" s="28"/>
      <c r="AA23" s="1"/>
      <c r="AB23" s="1"/>
    </row>
    <row r="24" spans="1:28" x14ac:dyDescent="0.25">
      <c r="A24" s="21" t="s">
        <v>57</v>
      </c>
      <c r="B24" s="26" t="str">
        <f t="shared" si="0"/>
        <v/>
      </c>
      <c r="C24" s="45">
        <v>0</v>
      </c>
      <c r="D24" s="1">
        <v>0</v>
      </c>
      <c r="E24" s="106"/>
      <c r="F24" s="1"/>
      <c r="G24" s="1"/>
      <c r="H24" s="1"/>
      <c r="I24" s="1"/>
      <c r="J24" s="1"/>
      <c r="K24" s="1"/>
      <c r="L24" s="1"/>
      <c r="M24" s="71"/>
      <c r="N24" s="71"/>
      <c r="O24" s="71"/>
      <c r="P24" s="71"/>
      <c r="Q24" s="71"/>
      <c r="R24" s="71"/>
      <c r="S24" s="71"/>
      <c r="T24" s="71"/>
      <c r="U24" s="71"/>
      <c r="V24" s="1"/>
      <c r="W24" s="28"/>
      <c r="AA24" s="1"/>
      <c r="AB24" s="1"/>
    </row>
    <row r="25" spans="1:28" x14ac:dyDescent="0.25">
      <c r="A25" s="21" t="s">
        <v>58</v>
      </c>
      <c r="B25" s="26" t="str">
        <f t="shared" si="0"/>
        <v/>
      </c>
      <c r="C25" s="45">
        <v>-91.920493780499982</v>
      </c>
      <c r="D25" s="1">
        <v>-345.31624254204002</v>
      </c>
      <c r="E25" s="106">
        <v>240.82216826513999</v>
      </c>
      <c r="F25" s="1"/>
      <c r="G25" s="1"/>
      <c r="H25" s="1"/>
      <c r="I25" s="1"/>
      <c r="J25" s="1"/>
      <c r="K25" s="1"/>
      <c r="L25" s="1"/>
      <c r="M25" s="71"/>
      <c r="N25" s="71"/>
      <c r="O25" s="71"/>
      <c r="P25" s="71"/>
      <c r="Q25" s="71"/>
      <c r="R25" s="71"/>
      <c r="S25" s="71"/>
      <c r="T25" s="71"/>
      <c r="U25" s="71"/>
      <c r="V25" s="1"/>
      <c r="W25" s="28"/>
      <c r="AA25" s="1"/>
      <c r="AB25" s="1"/>
    </row>
    <row r="26" spans="1:28" ht="13.8" thickBot="1" x14ac:dyDescent="0.3">
      <c r="A26" s="21" t="s">
        <v>59</v>
      </c>
      <c r="B26" s="26" t="str">
        <f t="shared" si="0"/>
        <v/>
      </c>
      <c r="C26" s="45">
        <v>-18890.947406261694</v>
      </c>
      <c r="D26" s="1">
        <v>-70501.589913678006</v>
      </c>
      <c r="E26" s="106">
        <v>55072.511184786475</v>
      </c>
      <c r="F26" s="1"/>
      <c r="G26" s="1"/>
      <c r="H26" s="1"/>
      <c r="I26" s="1"/>
      <c r="J26" s="37"/>
      <c r="K26" s="1"/>
      <c r="L26" s="1"/>
      <c r="M26" s="71"/>
      <c r="N26" s="71"/>
      <c r="O26" s="71"/>
      <c r="P26" s="71"/>
      <c r="Q26" s="71"/>
      <c r="R26" s="71"/>
      <c r="S26" s="71"/>
      <c r="T26" s="71"/>
      <c r="U26" s="71"/>
      <c r="V26" s="1"/>
      <c r="W26" s="28"/>
      <c r="AA26" s="1"/>
      <c r="AB26" s="1"/>
    </row>
    <row r="27" spans="1:28" ht="13.8" thickBot="1" x14ac:dyDescent="0.3">
      <c r="A27" s="23" t="s">
        <v>22</v>
      </c>
      <c r="B27" s="109" t="str">
        <f t="shared" si="0"/>
        <v/>
      </c>
      <c r="C27" s="63">
        <v>-211358.02081593743</v>
      </c>
      <c r="D27" s="42">
        <v>-770438.44836157584</v>
      </c>
      <c r="E27" s="108">
        <f>SUM(E2:E26)</f>
        <v>547154.36739392357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>
        <f>SUM(T2:T25)</f>
        <v>0</v>
      </c>
      <c r="U27" s="42">
        <f>SUM(U2:U25)</f>
        <v>0</v>
      </c>
      <c r="V27" s="42">
        <f>SUM(V2:V25)</f>
        <v>0</v>
      </c>
      <c r="W27" s="82">
        <f>SUM(W2:W25)</f>
        <v>0</v>
      </c>
    </row>
    <row r="28" spans="1:28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28" ht="13.8" thickBot="1" x14ac:dyDescent="0.3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28" ht="13.8" thickBot="1" x14ac:dyDescent="0.3">
      <c r="A30" s="23" t="s">
        <v>24</v>
      </c>
      <c r="B30" s="119" t="s">
        <v>170</v>
      </c>
      <c r="C30" s="96" t="s">
        <v>171</v>
      </c>
      <c r="D30" s="97" t="s">
        <v>168</v>
      </c>
      <c r="E30" s="105">
        <v>45839</v>
      </c>
      <c r="F30" s="95">
        <v>45474</v>
      </c>
      <c r="G30" s="95">
        <v>45108</v>
      </c>
      <c r="H30" s="95">
        <v>44743</v>
      </c>
      <c r="I30" s="95">
        <v>44378</v>
      </c>
      <c r="J30" s="95">
        <v>44013</v>
      </c>
      <c r="K30" s="95">
        <v>43647</v>
      </c>
      <c r="L30" s="95">
        <v>43282</v>
      </c>
      <c r="M30" s="24">
        <v>42917</v>
      </c>
      <c r="N30" s="24">
        <v>42552</v>
      </c>
      <c r="O30" s="24">
        <v>42186</v>
      </c>
      <c r="P30" s="24">
        <v>41821</v>
      </c>
      <c r="Q30" s="24">
        <v>41456</v>
      </c>
      <c r="R30" s="24">
        <v>41091</v>
      </c>
      <c r="S30" s="24">
        <v>40725</v>
      </c>
      <c r="T30" s="24">
        <v>40360</v>
      </c>
      <c r="U30" s="24">
        <v>39995</v>
      </c>
      <c r="V30" s="24">
        <v>39630</v>
      </c>
      <c r="W30" s="25">
        <v>39264</v>
      </c>
    </row>
    <row r="31" spans="1:28" x14ac:dyDescent="0.25">
      <c r="A31" s="20" t="s">
        <v>41</v>
      </c>
      <c r="B31" s="26">
        <f t="shared" ref="B31:B41" si="1">IFERROR(((E31-F31)/F31),"")</f>
        <v>0.24595026686671423</v>
      </c>
      <c r="C31" s="45">
        <v>-4372.7199999999993</v>
      </c>
      <c r="D31" s="1">
        <v>-2961.08</v>
      </c>
      <c r="E31" s="106">
        <v>5065.66</v>
      </c>
      <c r="F31" s="1">
        <v>4065.7</v>
      </c>
      <c r="G31" s="1">
        <v>4757.6400000000003</v>
      </c>
      <c r="H31" s="1">
        <v>7365.54</v>
      </c>
      <c r="I31" s="1">
        <v>5713.1</v>
      </c>
      <c r="J31" s="1">
        <v>8379.48</v>
      </c>
      <c r="K31" s="1">
        <v>11951</v>
      </c>
      <c r="L31" s="1">
        <v>4999</v>
      </c>
      <c r="M31" s="1">
        <v>10316.08</v>
      </c>
      <c r="N31" s="1">
        <v>5059</v>
      </c>
      <c r="O31" s="1">
        <v>10784</v>
      </c>
      <c r="P31" s="1">
        <v>5669.98</v>
      </c>
      <c r="Q31" s="1">
        <v>4374.18</v>
      </c>
      <c r="R31" s="1">
        <v>7762.42</v>
      </c>
      <c r="S31" s="1">
        <v>10759.5</v>
      </c>
      <c r="T31" s="1">
        <v>6544.42</v>
      </c>
      <c r="U31" s="1">
        <v>6651</v>
      </c>
      <c r="V31" s="1">
        <v>3381</v>
      </c>
      <c r="W31" s="28">
        <v>4144</v>
      </c>
    </row>
    <row r="32" spans="1:28" x14ac:dyDescent="0.25">
      <c r="A32" s="20" t="s">
        <v>42</v>
      </c>
      <c r="B32" s="26">
        <f t="shared" si="1"/>
        <v>-0.99805393383375041</v>
      </c>
      <c r="C32" s="45">
        <v>-0.26000000000000012</v>
      </c>
      <c r="D32" s="1">
        <v>-423.30000000000007</v>
      </c>
      <c r="E32" s="106">
        <v>0.84</v>
      </c>
      <c r="F32" s="1">
        <v>431.64</v>
      </c>
      <c r="G32" s="1">
        <v>0</v>
      </c>
      <c r="H32" s="1">
        <v>0</v>
      </c>
      <c r="I32" s="1">
        <v>0</v>
      </c>
      <c r="J32" s="1">
        <v>2.06</v>
      </c>
      <c r="K32" s="1">
        <v>33</v>
      </c>
      <c r="L32" s="1">
        <v>4.0599999999999996</v>
      </c>
      <c r="M32" s="1">
        <v>1.7</v>
      </c>
      <c r="N32" s="1">
        <v>115</v>
      </c>
      <c r="O32" s="1">
        <v>0</v>
      </c>
      <c r="P32" s="1">
        <v>0</v>
      </c>
      <c r="Q32" s="1">
        <v>0</v>
      </c>
      <c r="R32" s="1">
        <v>0.78</v>
      </c>
      <c r="S32" s="1">
        <v>0</v>
      </c>
      <c r="T32" s="1">
        <v>0</v>
      </c>
      <c r="U32" s="1">
        <v>1</v>
      </c>
      <c r="V32" s="1">
        <v>3</v>
      </c>
      <c r="W32" s="28">
        <v>0</v>
      </c>
    </row>
    <row r="33" spans="1:24" x14ac:dyDescent="0.25">
      <c r="A33" s="20" t="s">
        <v>43</v>
      </c>
      <c r="B33" s="26">
        <f t="shared" si="1"/>
        <v>-0.27916768774923695</v>
      </c>
      <c r="C33" s="45">
        <v>-591.91999999999996</v>
      </c>
      <c r="D33" s="1">
        <v>-374.3599999999999</v>
      </c>
      <c r="E33" s="106">
        <v>647.12</v>
      </c>
      <c r="F33" s="1">
        <v>897.74</v>
      </c>
      <c r="G33" s="1">
        <v>643.94000000000005</v>
      </c>
      <c r="H33" s="1">
        <v>1095.8</v>
      </c>
      <c r="I33" s="1">
        <v>223.94</v>
      </c>
      <c r="J33" s="1">
        <v>790.78</v>
      </c>
      <c r="K33" s="1">
        <v>978</v>
      </c>
      <c r="L33" s="1">
        <v>174.88</v>
      </c>
      <c r="M33" s="1">
        <v>928.24</v>
      </c>
      <c r="N33" s="1">
        <v>53</v>
      </c>
      <c r="O33" s="1">
        <v>844</v>
      </c>
      <c r="P33" s="1">
        <v>76.66</v>
      </c>
      <c r="Q33" s="1">
        <v>0.8</v>
      </c>
      <c r="R33" s="1">
        <v>368.16</v>
      </c>
      <c r="S33" s="1">
        <v>200.12</v>
      </c>
      <c r="T33" s="1">
        <v>3</v>
      </c>
      <c r="U33" s="1">
        <v>616</v>
      </c>
      <c r="V33" s="1">
        <v>0</v>
      </c>
      <c r="W33" s="28">
        <v>4</v>
      </c>
    </row>
    <row r="34" spans="1:24" hidden="1" x14ac:dyDescent="0.25">
      <c r="A34" s="20" t="s">
        <v>44</v>
      </c>
      <c r="B34" s="26" t="str">
        <f t="shared" si="1"/>
        <v/>
      </c>
      <c r="C34" s="45">
        <v>0</v>
      </c>
      <c r="D34" s="1">
        <v>0</v>
      </c>
      <c r="E34" s="106"/>
      <c r="F34" s="1"/>
      <c r="G34" s="1"/>
      <c r="H34" s="1"/>
      <c r="I34" s="1"/>
      <c r="J34" s="1"/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28">
        <v>0</v>
      </c>
    </row>
    <row r="35" spans="1:24" hidden="1" x14ac:dyDescent="0.25">
      <c r="A35" s="20" t="s">
        <v>154</v>
      </c>
      <c r="B35" s="26" t="str">
        <f t="shared" si="1"/>
        <v/>
      </c>
      <c r="C35" s="45">
        <v>0</v>
      </c>
      <c r="D35" s="1">
        <v>0</v>
      </c>
      <c r="E35" s="106"/>
      <c r="F35" s="1"/>
      <c r="G35" s="1"/>
      <c r="H35" s="1"/>
      <c r="I35" s="1"/>
      <c r="J35" s="1"/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/>
      <c r="T35" s="1"/>
      <c r="U35" s="1"/>
      <c r="V35" s="1"/>
      <c r="W35" s="28"/>
    </row>
    <row r="36" spans="1:24" hidden="1" x14ac:dyDescent="0.25">
      <c r="A36" s="20" t="s">
        <v>45</v>
      </c>
      <c r="B36" s="26" t="str">
        <f t="shared" si="1"/>
        <v/>
      </c>
      <c r="C36" s="45">
        <v>0</v>
      </c>
      <c r="D36" s="1">
        <v>0</v>
      </c>
      <c r="E36" s="106"/>
      <c r="F36" s="1"/>
      <c r="G36" s="1"/>
      <c r="H36" s="1"/>
      <c r="I36" s="1"/>
      <c r="J36" s="1"/>
      <c r="K36" s="1"/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28">
        <v>0</v>
      </c>
    </row>
    <row r="37" spans="1:24" x14ac:dyDescent="0.25">
      <c r="A37" s="20" t="s">
        <v>161</v>
      </c>
      <c r="B37" s="26" t="str">
        <f t="shared" si="1"/>
        <v/>
      </c>
      <c r="C37" s="45">
        <v>0</v>
      </c>
      <c r="D37" s="1">
        <v>0</v>
      </c>
      <c r="E37" s="106"/>
      <c r="F37" s="1"/>
      <c r="G37" s="1"/>
      <c r="H37" s="1"/>
      <c r="I37" s="1"/>
      <c r="J37" s="1"/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28">
        <v>0</v>
      </c>
    </row>
    <row r="38" spans="1:24" hidden="1" x14ac:dyDescent="0.25">
      <c r="A38" s="20" t="s">
        <v>46</v>
      </c>
      <c r="B38" s="120" t="str">
        <f t="shared" si="1"/>
        <v/>
      </c>
      <c r="C38" s="121">
        <v>0</v>
      </c>
      <c r="D38" s="1">
        <v>0</v>
      </c>
      <c r="E38" s="106"/>
      <c r="F38" s="1"/>
      <c r="G38" s="1"/>
      <c r="H38" s="1"/>
      <c r="I38" s="1"/>
      <c r="J38" s="1"/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28">
        <v>0</v>
      </c>
    </row>
    <row r="39" spans="1:24" ht="13.8" thickBot="1" x14ac:dyDescent="0.3">
      <c r="A39" s="20" t="s">
        <v>48</v>
      </c>
      <c r="B39" s="26" t="str">
        <f t="shared" si="1"/>
        <v/>
      </c>
      <c r="C39" s="45">
        <v>0</v>
      </c>
      <c r="D39" s="1">
        <v>0</v>
      </c>
      <c r="E39" s="106"/>
      <c r="F39" s="1"/>
      <c r="G39" s="1"/>
      <c r="H39" s="1"/>
      <c r="I39" s="1"/>
      <c r="J39" s="1"/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28">
        <v>0</v>
      </c>
    </row>
    <row r="40" spans="1:24" ht="13.8" hidden="1" thickBot="1" x14ac:dyDescent="0.3">
      <c r="A40" s="20" t="s">
        <v>47</v>
      </c>
      <c r="B40" s="26" t="str">
        <f t="shared" si="1"/>
        <v/>
      </c>
      <c r="C40" s="45">
        <v>0</v>
      </c>
      <c r="D40" s="1">
        <v>0</v>
      </c>
      <c r="E40" s="106"/>
      <c r="F40" s="10"/>
      <c r="G40" s="10"/>
      <c r="H40" s="10"/>
      <c r="I40" s="10"/>
      <c r="J40" s="10"/>
      <c r="K40" s="10">
        <v>0</v>
      </c>
      <c r="L40" s="10">
        <v>0</v>
      </c>
      <c r="M40" s="72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/>
      <c r="U40" s="10"/>
      <c r="V40" s="10"/>
      <c r="W40" s="30"/>
    </row>
    <row r="41" spans="1:24" ht="13.8" thickBot="1" x14ac:dyDescent="0.3">
      <c r="A41" s="23" t="s">
        <v>22</v>
      </c>
      <c r="B41" s="109">
        <f t="shared" si="1"/>
        <v>5.9042683333704035E-2</v>
      </c>
      <c r="C41" s="63">
        <v>-4964.9000000000005</v>
      </c>
      <c r="D41" s="42">
        <v>-3758.74</v>
      </c>
      <c r="E41" s="108">
        <f>SUM(E31:E40)</f>
        <v>5713.62</v>
      </c>
      <c r="F41" s="42">
        <f t="shared" ref="F41:K41" si="2">SUM(F31:F40)</f>
        <v>5395.08</v>
      </c>
      <c r="G41" s="42">
        <f t="shared" si="2"/>
        <v>5401.58</v>
      </c>
      <c r="H41" s="42">
        <f t="shared" si="2"/>
        <v>8461.34</v>
      </c>
      <c r="I41" s="42">
        <f t="shared" si="2"/>
        <v>5937.04</v>
      </c>
      <c r="J41" s="42">
        <f t="shared" si="2"/>
        <v>9172.32</v>
      </c>
      <c r="K41" s="42">
        <f t="shared" si="2"/>
        <v>12962</v>
      </c>
      <c r="L41" s="42">
        <f t="shared" ref="L41:Q41" si="3">SUM(L31:L40)</f>
        <v>5177.9400000000005</v>
      </c>
      <c r="M41" s="42">
        <f t="shared" si="3"/>
        <v>11246.02</v>
      </c>
      <c r="N41" s="42">
        <f t="shared" si="3"/>
        <v>5227</v>
      </c>
      <c r="O41" s="42">
        <f t="shared" si="3"/>
        <v>11628</v>
      </c>
      <c r="P41" s="42">
        <f t="shared" si="3"/>
        <v>5746.6399999999994</v>
      </c>
      <c r="Q41" s="42">
        <f t="shared" si="3"/>
        <v>4374.9800000000005</v>
      </c>
      <c r="R41" s="42">
        <f t="shared" ref="R41:W41" si="4">SUM(R31:R40)</f>
        <v>8131.36</v>
      </c>
      <c r="S41" s="42">
        <f t="shared" si="4"/>
        <v>10959.62</v>
      </c>
      <c r="T41" s="42">
        <f t="shared" si="4"/>
        <v>6547.42</v>
      </c>
      <c r="U41" s="42">
        <f t="shared" si="4"/>
        <v>7268</v>
      </c>
      <c r="V41" s="42">
        <f t="shared" si="4"/>
        <v>3384</v>
      </c>
      <c r="W41" s="82">
        <f t="shared" si="4"/>
        <v>4148</v>
      </c>
    </row>
    <row r="43" spans="1:24" x14ac:dyDescent="0.25">
      <c r="F43" s="1"/>
    </row>
    <row r="44" spans="1:24" x14ac:dyDescent="0.25">
      <c r="F44" s="1"/>
    </row>
    <row r="45" spans="1:24" x14ac:dyDescent="0.25">
      <c r="C45" s="1"/>
    </row>
    <row r="48" spans="1:24" ht="17.399999999999999" x14ac:dyDescent="0.3">
      <c r="V48" s="5"/>
      <c r="W48" s="1"/>
      <c r="X48" s="1"/>
    </row>
    <row r="49" spans="22:24" ht="17.399999999999999" x14ac:dyDescent="0.3">
      <c r="V49" s="5"/>
      <c r="W49" s="1"/>
      <c r="X49" s="1"/>
    </row>
    <row r="50" spans="22:24" ht="17.399999999999999" x14ac:dyDescent="0.3">
      <c r="V50" s="5"/>
      <c r="W50" s="1"/>
      <c r="X50" s="1"/>
    </row>
    <row r="51" spans="22:24" ht="17.399999999999999" x14ac:dyDescent="0.3">
      <c r="V51" s="5"/>
      <c r="W51" s="1"/>
      <c r="X51" s="1"/>
    </row>
    <row r="52" spans="22:24" ht="17.399999999999999" x14ac:dyDescent="0.3">
      <c r="V52" s="5"/>
      <c r="W52" s="1"/>
      <c r="X52" s="1"/>
    </row>
    <row r="53" spans="22:24" ht="17.399999999999999" x14ac:dyDescent="0.3">
      <c r="V53" s="5"/>
      <c r="W53" s="1"/>
      <c r="X53" s="1"/>
    </row>
    <row r="54" spans="22:24" ht="17.399999999999999" x14ac:dyDescent="0.3">
      <c r="V54" s="5"/>
      <c r="W54" s="1"/>
      <c r="X54" s="1"/>
    </row>
    <row r="55" spans="22:24" ht="17.399999999999999" x14ac:dyDescent="0.3">
      <c r="V55" s="5"/>
      <c r="W55" s="1"/>
      <c r="X55" s="1"/>
    </row>
    <row r="56" spans="22:24" ht="17.399999999999999" x14ac:dyDescent="0.3">
      <c r="V56" s="5"/>
      <c r="W56" s="1"/>
      <c r="X56" s="1"/>
    </row>
    <row r="57" spans="22:24" ht="17.399999999999999" x14ac:dyDescent="0.3">
      <c r="V57" s="5"/>
      <c r="W57" s="1"/>
      <c r="X57" s="1"/>
    </row>
    <row r="58" spans="22:24" ht="17.399999999999999" x14ac:dyDescent="0.3">
      <c r="V58" s="6"/>
      <c r="W58" s="1"/>
      <c r="X58" s="1"/>
    </row>
    <row r="59" spans="22:24" ht="18" x14ac:dyDescent="0.35">
      <c r="V59" s="7"/>
      <c r="W59" s="2"/>
      <c r="X59" s="2"/>
    </row>
  </sheetData>
  <phoneticPr fontId="2" type="noConversion"/>
  <conditionalFormatting sqref="E1:E2">
    <cfRule type="expression" dxfId="34" priority="5">
      <formula>ISBLANK(XFD1)=FALSE</formula>
    </cfRule>
  </conditionalFormatting>
  <conditionalFormatting sqref="E3:E23">
    <cfRule type="expression" dxfId="33" priority="2">
      <formula>ISBLANK(XFC3)=FALSE</formula>
    </cfRule>
  </conditionalFormatting>
  <conditionalFormatting sqref="E22:E23">
    <cfRule type="expression" dxfId="32" priority="7">
      <formula>ISBLANK(A22)=FALSE</formula>
    </cfRule>
  </conditionalFormatting>
  <conditionalFormatting sqref="E24">
    <cfRule type="expression" dxfId="31" priority="10">
      <formula>ISBLANK(XFD24)=FALSE</formula>
    </cfRule>
  </conditionalFormatting>
  <conditionalFormatting sqref="E25">
    <cfRule type="expression" dxfId="30" priority="1">
      <formula>ISBLANK(XFC25)=FALSE</formula>
    </cfRule>
  </conditionalFormatting>
  <conditionalFormatting sqref="E26:E41">
    <cfRule type="expression" dxfId="29" priority="4">
      <formula>ISBLANK(XFD26)=FALSE</formula>
    </cfRule>
  </conditionalFormatting>
  <pageMargins left="0.75" right="0.75" top="1" bottom="1" header="0.5" footer="0.5"/>
  <pageSetup paperSize="9" scale="8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Y81"/>
  <sheetViews>
    <sheetView zoomScaleNormal="100" workbookViewId="0"/>
  </sheetViews>
  <sheetFormatPr defaultColWidth="9.109375" defaultRowHeight="13.2" x14ac:dyDescent="0.25"/>
  <cols>
    <col min="1" max="1" width="21.6640625" customWidth="1"/>
    <col min="2" max="2" width="10.6640625" customWidth="1"/>
    <col min="3" max="3" width="11.44140625" bestFit="1" customWidth="1"/>
    <col min="4" max="12" width="11.6640625" customWidth="1"/>
    <col min="13" max="13" width="10.6640625" customWidth="1"/>
    <col min="14" max="23" width="10.109375" bestFit="1" customWidth="1"/>
  </cols>
  <sheetData>
    <row r="1" spans="1:25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5" x14ac:dyDescent="0.25">
      <c r="A2" s="110" t="s">
        <v>8</v>
      </c>
      <c r="B2" s="26">
        <f t="shared" ref="B2:B16" si="0">IFERROR(((E2-F2)/F2),"")</f>
        <v>-0.6823192483545194</v>
      </c>
      <c r="C2" s="45">
        <v>-4790.0942833273675</v>
      </c>
      <c r="D2" s="1">
        <v>-8970.8154585598222</v>
      </c>
      <c r="E2" s="106">
        <f>Austria!E$21</f>
        <v>5042.105263157895</v>
      </c>
      <c r="F2" s="1">
        <f>Austria!F$21</f>
        <v>15871.610845295056</v>
      </c>
      <c r="G2" s="1">
        <f>Austria!G$21</f>
        <v>22701.899429073343</v>
      </c>
      <c r="H2" s="1">
        <f>Austria!H$21</f>
        <v>18634.277558190599</v>
      </c>
      <c r="I2" s="1">
        <f>Austria!I$21</f>
        <v>22879.249999999996</v>
      </c>
      <c r="J2" s="1">
        <f>Austria!J$21</f>
        <v>11370</v>
      </c>
      <c r="K2" s="1">
        <f>Austria!K$21</f>
        <v>33584</v>
      </c>
      <c r="L2" s="1">
        <f>Austria!L$21</f>
        <v>5029</v>
      </c>
      <c r="M2" s="1">
        <f>Austria!M$21</f>
        <v>3767</v>
      </c>
      <c r="N2" s="1">
        <f>Austria!N$21</f>
        <v>29928</v>
      </c>
      <c r="O2" s="1">
        <f>Austria!O$21</f>
        <v>22144</v>
      </c>
      <c r="P2" s="1">
        <f>Austria!P$21</f>
        <v>32254</v>
      </c>
      <c r="Q2" s="1">
        <f>Austria!Q$21</f>
        <v>16263</v>
      </c>
      <c r="R2" s="1">
        <f>Austria!R$21</f>
        <v>24449</v>
      </c>
      <c r="S2" s="1">
        <f>Austria!S$21</f>
        <v>19336</v>
      </c>
      <c r="T2" s="1">
        <f>Austria!T$21</f>
        <v>24137</v>
      </c>
      <c r="U2" s="1">
        <f>Austria!U$21</f>
        <v>32190</v>
      </c>
      <c r="V2" s="1">
        <f>Austria!V$21</f>
        <v>13737</v>
      </c>
      <c r="W2" s="28">
        <f>Austria!W$21</f>
        <v>15849</v>
      </c>
      <c r="Y2" s="3"/>
    </row>
    <row r="3" spans="1:25" x14ac:dyDescent="0.25">
      <c r="A3" s="110" t="s">
        <v>0</v>
      </c>
      <c r="B3" s="26">
        <f t="shared" si="0"/>
        <v>-0.61489938472425465</v>
      </c>
      <c r="C3" s="45">
        <v>-4155.4883209979862</v>
      </c>
      <c r="D3" s="1">
        <v>-5644.3192510631925</v>
      </c>
      <c r="E3" s="106">
        <f>Belgium!E$10</f>
        <v>4618.5116790020138</v>
      </c>
      <c r="F3" s="1">
        <f>Belgium!F$10</f>
        <v>11993</v>
      </c>
      <c r="G3" s="1">
        <f>Belgium!G$10</f>
        <v>9352.51</v>
      </c>
      <c r="H3" s="1">
        <f>Belgium!H$10</f>
        <v>39815</v>
      </c>
      <c r="I3" s="1">
        <f>Belgium!I$10</f>
        <v>16318</v>
      </c>
      <c r="J3" s="1">
        <f>Belgium!J$10</f>
        <v>23513</v>
      </c>
      <c r="K3" s="1">
        <f>Belgium!K$10</f>
        <v>25659</v>
      </c>
      <c r="L3" s="1">
        <f>Belgium!L$10</f>
        <v>642</v>
      </c>
      <c r="M3" s="1">
        <f>Belgium!M$10</f>
        <v>7720</v>
      </c>
      <c r="N3" s="1">
        <f>Belgium!N$10</f>
        <v>18167</v>
      </c>
      <c r="O3" s="1">
        <f>Belgium!O$10</f>
        <v>33002</v>
      </c>
      <c r="P3" s="1">
        <f>Belgium!P$10</f>
        <v>12489</v>
      </c>
      <c r="Q3" s="1">
        <f>Belgium!Q$10</f>
        <v>4437</v>
      </c>
      <c r="R3" s="1">
        <f>Belgium!R$10</f>
        <v>8350</v>
      </c>
      <c r="S3" s="1">
        <f>Belgium!S$10</f>
        <v>23499</v>
      </c>
      <c r="T3" s="1">
        <f>Belgium!T$10</f>
        <v>47868</v>
      </c>
      <c r="U3" s="1">
        <f>Belgium!U$10</f>
        <v>74000</v>
      </c>
      <c r="V3" s="1">
        <f>Belgium!V$10</f>
        <v>89500</v>
      </c>
      <c r="W3" s="28">
        <f>Belgium!W$10</f>
        <v>47500</v>
      </c>
    </row>
    <row r="4" spans="1:25" x14ac:dyDescent="0.25">
      <c r="A4" s="110" t="s">
        <v>30</v>
      </c>
      <c r="B4" s="26" t="str">
        <f t="shared" si="0"/>
        <v/>
      </c>
      <c r="C4" s="45">
        <v>-97</v>
      </c>
      <c r="D4" s="1">
        <v>-5866</v>
      </c>
      <c r="E4" s="106">
        <f>'Czech Republic'!E$12</f>
        <v>0</v>
      </c>
      <c r="F4" s="1">
        <f>'Czech Republic'!F$12</f>
        <v>0</v>
      </c>
      <c r="G4" s="1">
        <f>'Czech Republic'!G$12</f>
        <v>0</v>
      </c>
      <c r="H4" s="1">
        <f>'Czech Republic'!H$12</f>
        <v>2800</v>
      </c>
      <c r="I4" s="1">
        <f>'Czech Republic'!I$12</f>
        <v>0</v>
      </c>
      <c r="J4" s="1">
        <f>'Czech Republic'!J$12</f>
        <v>0</v>
      </c>
      <c r="K4" s="1">
        <f>'Czech Republic'!K$12</f>
        <v>5529</v>
      </c>
      <c r="L4" s="1">
        <f>'Czech Republic'!L$12</f>
        <v>0</v>
      </c>
      <c r="M4" s="1">
        <f>'Czech Republic'!M$12</f>
        <v>0</v>
      </c>
      <c r="N4" s="1">
        <f>'Czech Republic'!N$12</f>
        <v>0</v>
      </c>
      <c r="O4" s="1">
        <f>'Czech Republic'!O$12</f>
        <v>0</v>
      </c>
      <c r="P4" s="1">
        <f>'Czech Republic'!P$12</f>
        <v>0</v>
      </c>
      <c r="Q4" s="1">
        <f>'Czech Republic'!Q$12</f>
        <v>0</v>
      </c>
      <c r="R4" s="1">
        <f>'Czech Republic'!R$12</f>
        <v>0</v>
      </c>
      <c r="S4" s="1">
        <f>'Czech Republic'!S$12</f>
        <v>0</v>
      </c>
      <c r="T4" s="1">
        <f>'Czech Republic'!T$12</f>
        <v>0</v>
      </c>
      <c r="U4" s="1">
        <f>'Czech Republic'!U$12</f>
        <v>0</v>
      </c>
      <c r="V4" s="1">
        <f>'Czech Republic'!V$12</f>
        <v>0</v>
      </c>
      <c r="W4" s="28">
        <f>'Czech Republic'!W$12</f>
        <v>0</v>
      </c>
      <c r="Y4" s="3"/>
    </row>
    <row r="5" spans="1:25" x14ac:dyDescent="0.25">
      <c r="A5" s="110" t="s">
        <v>40</v>
      </c>
      <c r="B5" s="26" t="str">
        <f t="shared" si="0"/>
        <v/>
      </c>
      <c r="C5" s="45">
        <v>0</v>
      </c>
      <c r="D5" s="1">
        <v>0</v>
      </c>
      <c r="E5" s="106">
        <f>Denmark!E$20</f>
        <v>0</v>
      </c>
      <c r="F5" s="1">
        <f>Denmark!F$20</f>
        <v>0</v>
      </c>
      <c r="G5" s="1">
        <f>Denmark!G$20</f>
        <v>0</v>
      </c>
      <c r="H5" s="1">
        <f>Denmark!H$20</f>
        <v>460</v>
      </c>
      <c r="I5" s="1">
        <f>Denmark!I$20</f>
        <v>0</v>
      </c>
      <c r="J5" s="1">
        <f>Denmark!J$20</f>
        <v>0</v>
      </c>
      <c r="K5" s="1">
        <f>Denmark!K$20</f>
        <v>660</v>
      </c>
      <c r="L5" s="1">
        <f>Denmark!L$20</f>
        <v>0</v>
      </c>
      <c r="M5" s="1">
        <f>Denmark!M$20</f>
        <v>0</v>
      </c>
      <c r="N5" s="1">
        <f>Denmark!N$20</f>
        <v>178</v>
      </c>
      <c r="O5" s="1">
        <f>Denmark!O$20</f>
        <v>0</v>
      </c>
      <c r="P5" s="1">
        <f>Denmark!P$20</f>
        <v>0</v>
      </c>
      <c r="Q5" s="1">
        <f>Denmark!Q$20</f>
        <v>0</v>
      </c>
      <c r="R5" s="1">
        <f>Denmark!R$20</f>
        <v>0</v>
      </c>
      <c r="S5" s="1">
        <f>Denmark!S$20</f>
        <v>0</v>
      </c>
      <c r="T5" s="1">
        <f>Denmark!T$20</f>
        <v>0</v>
      </c>
      <c r="U5" s="1">
        <f>Denmark!U$20</f>
        <v>0</v>
      </c>
      <c r="V5" s="1">
        <f>Denmark!V$20</f>
        <v>0</v>
      </c>
      <c r="W5" s="28">
        <f>Denmark!W$20</f>
        <v>0</v>
      </c>
      <c r="Y5" s="3"/>
    </row>
    <row r="6" spans="1:25" ht="14.4" x14ac:dyDescent="0.3">
      <c r="A6" s="39" t="s">
        <v>133</v>
      </c>
      <c r="B6" s="26">
        <f t="shared" si="0"/>
        <v>0.15118092491853793</v>
      </c>
      <c r="C6" s="45">
        <v>-54690.251999999949</v>
      </c>
      <c r="D6" s="1">
        <v>-43800</v>
      </c>
      <c r="E6" s="106">
        <f>France!E$26</f>
        <v>84435.667300000001</v>
      </c>
      <c r="F6" s="1">
        <f>France!F$26</f>
        <v>73347</v>
      </c>
      <c r="G6" s="1">
        <f>France!G$26</f>
        <v>39905</v>
      </c>
      <c r="H6" s="1">
        <f>France!H$26</f>
        <v>80211</v>
      </c>
      <c r="I6" s="1">
        <f>France!I$26</f>
        <v>54730</v>
      </c>
      <c r="J6" s="1">
        <f>France!J$26</f>
        <v>87374</v>
      </c>
      <c r="K6" s="1">
        <f>France!K$26</f>
        <v>69234</v>
      </c>
      <c r="L6" s="1">
        <f>France!L$26</f>
        <v>37794</v>
      </c>
      <c r="M6" s="37">
        <f>France!M$26</f>
        <v>80829</v>
      </c>
      <c r="N6" s="37">
        <f>France!N$26</f>
        <v>55607</v>
      </c>
      <c r="O6" s="37">
        <f>France!O$26</f>
        <v>52420</v>
      </c>
      <c r="P6" s="37">
        <f>France!P$26</f>
        <v>93988</v>
      </c>
      <c r="Q6" s="37">
        <f>France!Q$26</f>
        <v>12048</v>
      </c>
      <c r="R6" s="37">
        <f>France!R$26</f>
        <v>50464</v>
      </c>
      <c r="S6" s="37">
        <f>France!S$26</f>
        <v>44534</v>
      </c>
      <c r="T6" s="37">
        <f>France!T$26</f>
        <v>41995</v>
      </c>
      <c r="U6" s="87"/>
      <c r="V6" s="87"/>
      <c r="W6" s="68"/>
      <c r="Y6" s="3"/>
    </row>
    <row r="7" spans="1:25" x14ac:dyDescent="0.25">
      <c r="A7" s="110" t="s">
        <v>27</v>
      </c>
      <c r="B7" s="26">
        <f t="shared" si="0"/>
        <v>-3.2782854567061427E-3</v>
      </c>
      <c r="C7" s="45">
        <v>-21814</v>
      </c>
      <c r="D7" s="1">
        <v>-22435</v>
      </c>
      <c r="E7" s="106">
        <f>Germany!E$21</f>
        <v>24323</v>
      </c>
      <c r="F7" s="1">
        <f>Germany!F$21</f>
        <v>24403</v>
      </c>
      <c r="G7" s="1">
        <f>Germany!G$21</f>
        <v>26597</v>
      </c>
      <c r="H7" s="1">
        <f>Germany!H$21</f>
        <v>48829</v>
      </c>
      <c r="I7" s="1">
        <f>Germany!I$21</f>
        <v>33212</v>
      </c>
      <c r="J7" s="1">
        <f>Germany!J$21</f>
        <v>19379</v>
      </c>
      <c r="K7" s="1">
        <f>Germany!K$21</f>
        <v>59280</v>
      </c>
      <c r="L7" s="1">
        <f>Germany!L$21</f>
        <v>10472</v>
      </c>
      <c r="M7" s="1">
        <f>Germany!M$21</f>
        <v>46084</v>
      </c>
      <c r="N7" s="1">
        <f>Germany!N$21</f>
        <v>40557</v>
      </c>
      <c r="O7" s="1">
        <f>Germany!O$21</f>
        <v>34582</v>
      </c>
      <c r="P7" s="1">
        <f>Germany!P$21</f>
        <v>36681</v>
      </c>
      <c r="Q7" s="1">
        <f>Germany!Q$21</f>
        <v>25181</v>
      </c>
      <c r="R7" s="1">
        <f>Germany!R$21</f>
        <v>21197</v>
      </c>
      <c r="S7" s="1">
        <f>Germany!S$21</f>
        <v>11889</v>
      </c>
      <c r="T7" s="1">
        <f>Germany!T$21</f>
        <v>27497</v>
      </c>
      <c r="U7" s="1">
        <f>Germany!U$21</f>
        <v>29677</v>
      </c>
      <c r="V7" s="1">
        <f>Germany!V$21</f>
        <v>5975</v>
      </c>
      <c r="W7" s="28">
        <f>Germany!W$21</f>
        <v>15427</v>
      </c>
      <c r="Y7" s="3"/>
    </row>
    <row r="8" spans="1:25" x14ac:dyDescent="0.25">
      <c r="A8" s="110" t="s">
        <v>16</v>
      </c>
      <c r="B8" s="26">
        <f t="shared" si="0"/>
        <v>-0.25326615976956296</v>
      </c>
      <c r="C8" s="45">
        <v>-123350.09116116722</v>
      </c>
      <c r="D8" s="1">
        <v>-98974.540493299544</v>
      </c>
      <c r="E8" s="106">
        <f>Italy!E$20</f>
        <v>127054</v>
      </c>
      <c r="F8" s="1">
        <f>Italy!F$20</f>
        <v>170146.3</v>
      </c>
      <c r="G8" s="1">
        <f>Italy!G$20</f>
        <v>97498.914000000004</v>
      </c>
      <c r="H8" s="1">
        <f>Italy!H$20</f>
        <v>150133.98693769283</v>
      </c>
      <c r="I8" s="1">
        <f>Italy!I$20</f>
        <v>143460.91900000002</v>
      </c>
      <c r="J8" s="1">
        <f>Italy!J$20</f>
        <v>116216</v>
      </c>
      <c r="K8" s="1">
        <f>Italy!K$20</f>
        <v>194426.6</v>
      </c>
      <c r="L8" s="1">
        <f>Italy!L$20</f>
        <v>23531.3</v>
      </c>
      <c r="M8" s="1">
        <f>Italy!M$20</f>
        <v>185629</v>
      </c>
      <c r="N8" s="1">
        <f>Italy!N$20</f>
        <v>147342.10000000003</v>
      </c>
      <c r="O8" s="1">
        <f>Italy!O$20</f>
        <v>137979</v>
      </c>
      <c r="P8" s="1">
        <f>Italy!P$20</f>
        <v>135365</v>
      </c>
      <c r="Q8" s="1">
        <f>Italy!Q$20</f>
        <v>65909</v>
      </c>
      <c r="R8" s="1">
        <f>Italy!R$20</f>
        <v>111938</v>
      </c>
      <c r="S8" s="1">
        <f>Italy!S$20</f>
        <v>93063</v>
      </c>
      <c r="T8" s="1">
        <f>Italy!T$20</f>
        <v>94860</v>
      </c>
      <c r="U8" s="1">
        <f>Italy!U$20</f>
        <v>122099</v>
      </c>
      <c r="V8" s="1">
        <f>Italy!V$20</f>
        <v>60218</v>
      </c>
      <c r="W8" s="28">
        <f>Italy!W$20</f>
        <v>62087</v>
      </c>
    </row>
    <row r="9" spans="1:25" x14ac:dyDescent="0.25">
      <c r="A9" s="39" t="s">
        <v>31</v>
      </c>
      <c r="B9" s="26">
        <f t="shared" si="0"/>
        <v>-0.64583333333333337</v>
      </c>
      <c r="C9" s="45">
        <v>-78500</v>
      </c>
      <c r="D9" s="1">
        <v>-102000</v>
      </c>
      <c r="E9" s="106">
        <f>Poland!E$18</f>
        <v>25500</v>
      </c>
      <c r="F9" s="1">
        <f>Poland!F$18</f>
        <v>72000</v>
      </c>
      <c r="G9" s="1">
        <f>Poland!G$18</f>
        <v>70000</v>
      </c>
      <c r="H9" s="1">
        <f>Poland!H$18</f>
        <v>94000</v>
      </c>
      <c r="I9" s="1">
        <f>Poland!I$18</f>
        <v>133000</v>
      </c>
      <c r="J9" s="1">
        <f>Poland!J$18</f>
        <v>11000</v>
      </c>
      <c r="K9" s="1">
        <f>Poland!K$18</f>
        <v>104000</v>
      </c>
      <c r="L9" s="1">
        <f>Poland!L$18</f>
        <v>46000</v>
      </c>
      <c r="M9" s="37">
        <f>Poland!M$18</f>
        <v>57000</v>
      </c>
      <c r="N9" s="37">
        <f>Poland!N$18</f>
        <v>59000</v>
      </c>
      <c r="O9" s="37">
        <f>Poland!O$18</f>
        <v>30000</v>
      </c>
      <c r="P9" s="37">
        <f>Poland!P$18</f>
        <v>37000</v>
      </c>
      <c r="Q9" s="37">
        <f>Poland!Q$18</f>
        <v>14000</v>
      </c>
      <c r="R9" s="37">
        <f>Poland!R$18</f>
        <v>11000</v>
      </c>
      <c r="S9" s="37">
        <f>Poland!S$18</f>
        <v>0</v>
      </c>
      <c r="T9" s="37">
        <f>Poland!T$18</f>
        <v>25000</v>
      </c>
      <c r="U9" s="37">
        <f>Poland!U$18</f>
        <v>5000</v>
      </c>
      <c r="V9" s="37">
        <f>Poland!V$18</f>
        <v>0</v>
      </c>
      <c r="W9" s="58">
        <f>Poland!W$18</f>
        <v>0</v>
      </c>
      <c r="Y9" s="3"/>
    </row>
    <row r="10" spans="1:25" hidden="1" x14ac:dyDescent="0.25">
      <c r="A10" s="39" t="s">
        <v>145</v>
      </c>
      <c r="B10" s="120" t="str">
        <f t="shared" si="0"/>
        <v/>
      </c>
      <c r="C10" s="121">
        <v>0</v>
      </c>
      <c r="D10" s="1">
        <v>0</v>
      </c>
      <c r="E10" s="106">
        <f>Portugal!E$17</f>
        <v>0</v>
      </c>
      <c r="F10" s="1">
        <f>Portugal!F$17</f>
        <v>0</v>
      </c>
      <c r="G10" s="1">
        <f>Portugal!G$17</f>
        <v>0</v>
      </c>
      <c r="H10" s="1">
        <f>Portugal!H$17</f>
        <v>0</v>
      </c>
      <c r="I10" s="1">
        <f>Portugal!I$17</f>
        <v>0</v>
      </c>
      <c r="J10" s="1">
        <f>Portugal!J$17</f>
        <v>0</v>
      </c>
      <c r="K10" s="1">
        <f>Portugal!K$17</f>
        <v>0</v>
      </c>
      <c r="L10" s="1">
        <f>Portugal!L$17</f>
        <v>0</v>
      </c>
      <c r="M10" s="37">
        <f>Portugal!M$17</f>
        <v>0</v>
      </c>
      <c r="N10" s="37">
        <f>Portugal!N$17</f>
        <v>0</v>
      </c>
      <c r="O10" s="37"/>
      <c r="P10" s="37"/>
      <c r="Q10" s="37"/>
      <c r="R10" s="37"/>
      <c r="S10" s="37"/>
      <c r="T10" s="37"/>
      <c r="U10" s="37"/>
      <c r="V10" s="37"/>
      <c r="W10" s="58"/>
      <c r="Y10" s="3"/>
    </row>
    <row r="11" spans="1:25" hidden="1" x14ac:dyDescent="0.25">
      <c r="A11" s="39" t="s">
        <v>162</v>
      </c>
      <c r="B11" s="26" t="str">
        <f t="shared" si="0"/>
        <v/>
      </c>
      <c r="C11" s="45">
        <v>0</v>
      </c>
      <c r="D11" s="1">
        <v>0</v>
      </c>
      <c r="E11" s="106"/>
      <c r="F11" s="1"/>
      <c r="G11" s="1"/>
      <c r="H11" s="1"/>
      <c r="I11" s="1"/>
      <c r="J11" s="1"/>
      <c r="K11" s="1"/>
      <c r="L11" s="1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58"/>
      <c r="Y11" s="3"/>
    </row>
    <row r="12" spans="1:25" x14ac:dyDescent="0.25">
      <c r="A12" s="110" t="s">
        <v>37</v>
      </c>
      <c r="B12" s="26">
        <f t="shared" si="0"/>
        <v>-0.19774608205670013</v>
      </c>
      <c r="C12" s="45">
        <v>-19591</v>
      </c>
      <c r="D12" s="1">
        <v>-18880</v>
      </c>
      <c r="E12" s="106">
        <f>Spain!E$8</f>
        <v>36448</v>
      </c>
      <c r="F12" s="1">
        <f>Spain!F$8</f>
        <v>45432</v>
      </c>
      <c r="G12" s="1">
        <f>Spain!G$8</f>
        <v>26036.208184461328</v>
      </c>
      <c r="H12" s="1">
        <f>Spain!H$8</f>
        <v>56851</v>
      </c>
      <c r="I12" s="1">
        <f>Spain!I$8</f>
        <v>27662.099248421866</v>
      </c>
      <c r="J12" s="1">
        <f>Spain!J$8</f>
        <v>43402.888377588053</v>
      </c>
      <c r="K12" s="1">
        <f>Spain!K$8</f>
        <v>32988</v>
      </c>
      <c r="L12" s="1">
        <f>Spain!L$8</f>
        <v>15979</v>
      </c>
      <c r="M12" s="1">
        <f>Spain!M$8</f>
        <v>44398</v>
      </c>
      <c r="N12" s="1">
        <f>Spain!N$8</f>
        <v>17542</v>
      </c>
      <c r="O12" s="1">
        <f>Spain!O$8</f>
        <v>20107.58925449631</v>
      </c>
      <c r="P12" s="1">
        <f>Spain!P$8</f>
        <v>25260.365732307975</v>
      </c>
      <c r="Q12" s="1">
        <f>Spain!Q$8</f>
        <v>4822.1523704446481</v>
      </c>
      <c r="R12" s="1">
        <f>Spain!R$8</f>
        <v>21580</v>
      </c>
      <c r="S12" s="1">
        <f>Spain!S$8</f>
        <v>8715.8731073247054</v>
      </c>
      <c r="T12" s="1">
        <f>Spain!T$8</f>
        <v>11274.248316860951</v>
      </c>
      <c r="U12" s="1">
        <f>Spain!U$8</f>
        <v>29157</v>
      </c>
      <c r="V12" s="1">
        <f>Spain!V$8</f>
        <v>45862</v>
      </c>
      <c r="W12" s="28">
        <f>Spain!W$8</f>
        <v>40135</v>
      </c>
      <c r="Y12" s="3"/>
    </row>
    <row r="13" spans="1:25" x14ac:dyDescent="0.25">
      <c r="A13" s="110" t="s">
        <v>60</v>
      </c>
      <c r="B13" s="26">
        <f t="shared" si="0"/>
        <v>1.8024202420242024</v>
      </c>
      <c r="C13" s="45">
        <v>-7457</v>
      </c>
      <c r="D13" s="1">
        <v>-4895</v>
      </c>
      <c r="E13" s="106">
        <f>Switzerland!E$19</f>
        <v>12737</v>
      </c>
      <c r="F13" s="1">
        <f>Switzerland!F$19</f>
        <v>4545</v>
      </c>
      <c r="G13" s="1">
        <f>Switzerland!G$19</f>
        <v>4734</v>
      </c>
      <c r="H13" s="1">
        <f>Switzerland!H$19</f>
        <v>12352</v>
      </c>
      <c r="I13" s="1">
        <f>Switzerland!I$19</f>
        <v>9655</v>
      </c>
      <c r="J13" s="1">
        <f>Switzerland!J$19</f>
        <v>6295</v>
      </c>
      <c r="K13" s="1">
        <f>Switzerland!K$19</f>
        <v>12583</v>
      </c>
      <c r="L13" s="1">
        <f>Switzerland!L$19</f>
        <v>1380</v>
      </c>
      <c r="M13" s="1">
        <f>Switzerland!M$19</f>
        <v>9115</v>
      </c>
      <c r="N13" s="1">
        <f>Switzerland!N$19</f>
        <v>6594</v>
      </c>
      <c r="O13" s="1">
        <f>Switzerland!O$19</f>
        <v>8320</v>
      </c>
      <c r="P13" s="1">
        <f>Switzerland!P$19</f>
        <v>9599</v>
      </c>
      <c r="Q13" s="1">
        <f>Switzerland!Q$19</f>
        <v>6224</v>
      </c>
      <c r="R13" s="1">
        <f>Switzerland!R$19</f>
        <v>9402</v>
      </c>
      <c r="S13" s="1">
        <f>Switzerland!S$19</f>
        <v>9646</v>
      </c>
      <c r="T13" s="1">
        <f>Switzerland!T$19</f>
        <v>9327</v>
      </c>
      <c r="U13" s="1">
        <f>Switzerland!U$19</f>
        <v>8272</v>
      </c>
      <c r="V13" s="1">
        <f>Switzerland!V$19</f>
        <v>5979</v>
      </c>
      <c r="W13" s="28">
        <f>Switzerland!W$19</f>
        <v>9898</v>
      </c>
      <c r="Y13" s="3"/>
    </row>
    <row r="14" spans="1:25" x14ac:dyDescent="0.25">
      <c r="A14" s="110" t="s">
        <v>1</v>
      </c>
      <c r="B14" s="26">
        <f t="shared" si="0"/>
        <v>0.29294323304811848</v>
      </c>
      <c r="C14" s="45">
        <v>-11240</v>
      </c>
      <c r="D14" s="1">
        <v>-8811</v>
      </c>
      <c r="E14" s="106">
        <f>Netherlands!E$8</f>
        <v>14053</v>
      </c>
      <c r="F14" s="1">
        <f>Netherlands!F$8</f>
        <v>10869</v>
      </c>
      <c r="G14" s="1">
        <f>Netherlands!G$8</f>
        <v>20622</v>
      </c>
      <c r="H14" s="1">
        <f>Netherlands!H$8</f>
        <v>24940</v>
      </c>
      <c r="I14" s="1">
        <f>Netherlands!I$8</f>
        <v>13881</v>
      </c>
      <c r="J14" s="1">
        <f>Netherlands!J$8</f>
        <v>16808</v>
      </c>
      <c r="K14" s="1">
        <f>Netherlands!K$8</f>
        <v>18515</v>
      </c>
      <c r="L14" s="1">
        <f>Netherlands!L$8</f>
        <v>8564</v>
      </c>
      <c r="M14" s="1">
        <f>Netherlands!M$8</f>
        <v>34900</v>
      </c>
      <c r="N14" s="1">
        <f>Netherlands!N$8</f>
        <v>29545</v>
      </c>
      <c r="O14" s="1">
        <f>Netherlands!O$8</f>
        <v>31322</v>
      </c>
      <c r="P14" s="1">
        <f>Netherlands!P$8</f>
        <v>24100</v>
      </c>
      <c r="Q14" s="1">
        <f>Netherlands!Q$8</f>
        <v>15000</v>
      </c>
      <c r="R14" s="1">
        <f>Netherlands!R$8</f>
        <v>26000</v>
      </c>
      <c r="S14" s="1">
        <f>Netherlands!S$8</f>
        <v>0</v>
      </c>
      <c r="T14" s="1">
        <f>Netherlands!T$8</f>
        <v>0</v>
      </c>
      <c r="U14" s="1">
        <f>Netherlands!U$8</f>
        <v>0</v>
      </c>
      <c r="V14" s="1">
        <f>Netherlands!V$8</f>
        <v>0</v>
      </c>
      <c r="W14" s="28">
        <f>Netherlands!W$8</f>
        <v>0</v>
      </c>
    </row>
    <row r="15" spans="1:25" ht="13.8" thickBot="1" x14ac:dyDescent="0.3">
      <c r="A15" s="160" t="s">
        <v>169</v>
      </c>
      <c r="B15" s="26">
        <f t="shared" si="0"/>
        <v>6.0378197997775302</v>
      </c>
      <c r="C15" s="45">
        <v>-11141</v>
      </c>
      <c r="D15" s="1">
        <v>-1795</v>
      </c>
      <c r="E15" s="106">
        <f>UK!E$12</f>
        <v>6327</v>
      </c>
      <c r="F15" s="10">
        <f>UK!F$12</f>
        <v>899</v>
      </c>
      <c r="G15" s="10">
        <f>UK!G$12</f>
        <v>11416</v>
      </c>
      <c r="H15" s="10">
        <f>UK!H$12</f>
        <v>2721</v>
      </c>
      <c r="I15" s="10">
        <f>UK!I$12</f>
        <v>4833</v>
      </c>
      <c r="J15" s="10">
        <f>UK!J$12</f>
        <v>4443</v>
      </c>
      <c r="K15" s="10">
        <f>UK!K$12</f>
        <v>4584</v>
      </c>
      <c r="L15" s="10">
        <f>UK!L$12</f>
        <v>3500</v>
      </c>
      <c r="M15" s="10">
        <f>UK!M$12</f>
        <v>0</v>
      </c>
      <c r="N15" s="10">
        <f>UK!N$12</f>
        <v>2180</v>
      </c>
      <c r="O15" s="10">
        <f>UK!O$12</f>
        <v>7000</v>
      </c>
      <c r="P15" s="10">
        <f>UK!P$12</f>
        <v>10200</v>
      </c>
      <c r="Q15" s="10">
        <f>UK!Q$12</f>
        <v>2000</v>
      </c>
      <c r="R15" s="10">
        <f>UK!R$12</f>
        <v>2000</v>
      </c>
      <c r="S15" s="10">
        <f>UK!S$12</f>
        <v>4000</v>
      </c>
      <c r="T15" s="10">
        <f>UK!T$12</f>
        <v>6000</v>
      </c>
      <c r="U15" s="10">
        <f>UK!U$12</f>
        <v>11000</v>
      </c>
      <c r="V15" s="10">
        <f>UK!V$12</f>
        <v>0</v>
      </c>
      <c r="W15" s="30">
        <f>UK!W$12</f>
        <v>5000</v>
      </c>
    </row>
    <row r="16" spans="1:25" ht="13.8" thickBot="1" x14ac:dyDescent="0.3">
      <c r="A16" s="41" t="s">
        <v>22</v>
      </c>
      <c r="B16" s="109">
        <f t="shared" si="0"/>
        <v>-0.20713946969447095</v>
      </c>
      <c r="C16" s="63">
        <v>-336825.92576549249</v>
      </c>
      <c r="D16" s="42">
        <v>-322071.67520292255</v>
      </c>
      <c r="E16" s="108">
        <f t="shared" ref="E16" si="1">SUM(E2:E15)</f>
        <v>340538.28424215992</v>
      </c>
      <c r="F16" s="33">
        <f t="shared" ref="F16:K16" si="2">SUM(F2:F15)</f>
        <v>429505.91084529506</v>
      </c>
      <c r="G16" s="33">
        <f t="shared" si="2"/>
        <v>328863.53161353467</v>
      </c>
      <c r="H16" s="33">
        <f t="shared" si="2"/>
        <v>531747.26449588337</v>
      </c>
      <c r="I16" s="33">
        <f t="shared" si="2"/>
        <v>459631.26824842184</v>
      </c>
      <c r="J16" s="33">
        <f t="shared" si="2"/>
        <v>339800.88837758807</v>
      </c>
      <c r="K16" s="33">
        <f t="shared" si="2"/>
        <v>561042.6</v>
      </c>
      <c r="L16" s="33">
        <f t="shared" ref="L16:Q16" si="3">SUM(L2:L15)</f>
        <v>152891.29999999999</v>
      </c>
      <c r="M16" s="33">
        <f t="shared" si="3"/>
        <v>469442</v>
      </c>
      <c r="N16" s="33">
        <f t="shared" si="3"/>
        <v>406640.10000000003</v>
      </c>
      <c r="O16" s="33">
        <f t="shared" si="3"/>
        <v>376876.58925449633</v>
      </c>
      <c r="P16" s="33">
        <f t="shared" si="3"/>
        <v>416936.36573230795</v>
      </c>
      <c r="Q16" s="33">
        <f t="shared" si="3"/>
        <v>165884.15237044464</v>
      </c>
      <c r="R16" s="33">
        <f t="shared" ref="R16:W16" si="4">SUM(R2:R15)</f>
        <v>286380</v>
      </c>
      <c r="S16" s="33">
        <f t="shared" si="4"/>
        <v>214682.8731073247</v>
      </c>
      <c r="T16" s="33">
        <f t="shared" si="4"/>
        <v>287958.24831686093</v>
      </c>
      <c r="U16" s="33">
        <f t="shared" si="4"/>
        <v>311395</v>
      </c>
      <c r="V16" s="33">
        <f t="shared" si="4"/>
        <v>221271</v>
      </c>
      <c r="W16" s="82">
        <f t="shared" si="4"/>
        <v>195896</v>
      </c>
    </row>
    <row r="17" spans="1:25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V17" s="1"/>
      <c r="W17" s="1"/>
    </row>
    <row r="18" spans="1:25" ht="13.8" thickBot="1" x14ac:dyDescent="0.3">
      <c r="B18" s="35"/>
      <c r="C18" s="1"/>
      <c r="D18" s="1"/>
      <c r="E18" s="122"/>
      <c r="F18" s="35"/>
      <c r="G18" s="35"/>
      <c r="H18" s="35"/>
      <c r="I18" s="35"/>
      <c r="J18" s="35"/>
      <c r="K18" s="35"/>
      <c r="L18" s="35"/>
      <c r="M18" s="35"/>
      <c r="V18" s="1"/>
      <c r="W18" s="1"/>
    </row>
    <row r="19" spans="1:25" ht="13.8" thickBot="1" x14ac:dyDescent="0.3">
      <c r="A19" s="23" t="s">
        <v>24</v>
      </c>
      <c r="B19" s="119" t="s">
        <v>170</v>
      </c>
      <c r="C19" s="96" t="s">
        <v>171</v>
      </c>
      <c r="D19" s="97" t="s">
        <v>168</v>
      </c>
      <c r="E19" s="105">
        <v>45839</v>
      </c>
      <c r="F19" s="95">
        <v>45474</v>
      </c>
      <c r="G19" s="95">
        <v>45108</v>
      </c>
      <c r="H19" s="95">
        <v>44743</v>
      </c>
      <c r="I19" s="95">
        <v>44378</v>
      </c>
      <c r="J19" s="95">
        <v>44013</v>
      </c>
      <c r="K19" s="95">
        <v>43647</v>
      </c>
      <c r="L19" s="95">
        <v>43282</v>
      </c>
      <c r="M19" s="24">
        <v>42917</v>
      </c>
      <c r="N19" s="24">
        <v>42552</v>
      </c>
      <c r="O19" s="24">
        <v>42186</v>
      </c>
      <c r="P19" s="24">
        <v>41821</v>
      </c>
      <c r="Q19" s="24">
        <v>41456</v>
      </c>
      <c r="R19" s="24">
        <v>41091</v>
      </c>
      <c r="S19" s="24">
        <v>40725</v>
      </c>
      <c r="T19" s="24">
        <v>40360</v>
      </c>
      <c r="U19" s="24">
        <v>39995</v>
      </c>
      <c r="V19" s="24">
        <v>39630</v>
      </c>
      <c r="W19" s="25">
        <v>39264</v>
      </c>
    </row>
    <row r="20" spans="1:25" x14ac:dyDescent="0.25">
      <c r="A20" s="20" t="s">
        <v>0</v>
      </c>
      <c r="B20" s="26">
        <f t="shared" ref="B20:B33" si="5">IFERROR(((E20-F20)/F20),"")</f>
        <v>-0.5256808097711746</v>
      </c>
      <c r="C20" s="45">
        <v>-3265.7780227544736</v>
      </c>
      <c r="D20" s="1">
        <v>-3319.3599999999997</v>
      </c>
      <c r="E20" s="106">
        <f>Belgium!E$20</f>
        <v>716.22197724552643</v>
      </c>
      <c r="F20" s="1">
        <f>Belgium!F$20</f>
        <v>1510</v>
      </c>
      <c r="G20" s="1">
        <f>Belgium!G$20</f>
        <v>809</v>
      </c>
      <c r="H20" s="1">
        <f>Belgium!H$20</f>
        <v>803</v>
      </c>
      <c r="I20" s="1">
        <f>Belgium!I$20</f>
        <v>3300</v>
      </c>
      <c r="J20" s="1">
        <f>Belgium!J$20</f>
        <v>0</v>
      </c>
      <c r="K20" s="1">
        <f>Belgium!K$20</f>
        <v>3127</v>
      </c>
      <c r="L20" s="1">
        <f>Belgium!L$20</f>
        <v>140</v>
      </c>
      <c r="M20" s="1">
        <f>Belgium!M$20</f>
        <v>150</v>
      </c>
      <c r="N20" s="1">
        <f>Belgium!N$20</f>
        <v>522</v>
      </c>
      <c r="O20" s="1">
        <f>Belgium!O$20</f>
        <v>418</v>
      </c>
      <c r="P20" s="1">
        <f>Belgium!P$20</f>
        <v>995</v>
      </c>
      <c r="Q20" s="1">
        <f>Belgium!Q$20</f>
        <v>595</v>
      </c>
      <c r="R20" s="1">
        <f>Belgium!R$20</f>
        <v>132</v>
      </c>
      <c r="S20" s="1">
        <f>Belgium!S$20</f>
        <v>6300</v>
      </c>
      <c r="T20" s="1">
        <f>Belgium!T$20</f>
        <v>3700</v>
      </c>
      <c r="U20" s="1">
        <f>Belgium!U$20</f>
        <v>0</v>
      </c>
      <c r="V20" s="1">
        <f>Belgium!V$20</f>
        <v>41000</v>
      </c>
      <c r="W20" s="28">
        <f>Belgium!W$20</f>
        <v>14900</v>
      </c>
    </row>
    <row r="21" spans="1:25" x14ac:dyDescent="0.25">
      <c r="A21" s="20" t="s">
        <v>30</v>
      </c>
      <c r="B21" s="26" t="str">
        <f t="shared" si="5"/>
        <v/>
      </c>
      <c r="C21" s="45">
        <v>0</v>
      </c>
      <c r="D21" s="1">
        <v>-211</v>
      </c>
      <c r="E21" s="106">
        <f>'Czech Republic'!E$23</f>
        <v>0</v>
      </c>
      <c r="F21" s="1">
        <f>'Czech Republic'!F$23</f>
        <v>0</v>
      </c>
      <c r="G21" s="1">
        <f>'Czech Republic'!G$23</f>
        <v>0</v>
      </c>
      <c r="H21" s="1">
        <f>'Czech Republic'!H$23</f>
        <v>0</v>
      </c>
      <c r="I21" s="1">
        <f>'Czech Republic'!I$23</f>
        <v>0</v>
      </c>
      <c r="J21" s="1">
        <f>'Czech Republic'!J$23</f>
        <v>0</v>
      </c>
      <c r="K21" s="1">
        <f>'Czech Republic'!K$23</f>
        <v>0</v>
      </c>
      <c r="L21" s="1">
        <f>'Czech Republic'!L$23</f>
        <v>0</v>
      </c>
      <c r="M21" s="1">
        <f>'Czech Republic'!M$23</f>
        <v>0</v>
      </c>
      <c r="N21" s="1">
        <f>'Czech Republic'!N$23</f>
        <v>0</v>
      </c>
      <c r="O21" s="1">
        <f>'Czech Republic'!O$23</f>
        <v>0</v>
      </c>
      <c r="P21" s="1">
        <f>'Czech Republic'!P$23</f>
        <v>0</v>
      </c>
      <c r="Q21" s="1">
        <f>'Czech Republic'!Q$23</f>
        <v>0</v>
      </c>
      <c r="R21" s="1">
        <f>'Czech Republic'!R$23</f>
        <v>0</v>
      </c>
      <c r="S21" s="1">
        <f>'Czech Republic'!S$23</f>
        <v>0</v>
      </c>
      <c r="T21" s="1">
        <f>'Czech Republic'!T$23</f>
        <v>0</v>
      </c>
      <c r="U21" s="1">
        <f>'Czech Republic'!U$23</f>
        <v>0</v>
      </c>
      <c r="V21" s="1">
        <f>'Czech Republic'!V$23</f>
        <v>0</v>
      </c>
      <c r="W21" s="28">
        <f>'Czech Republic'!W$23</f>
        <v>0</v>
      </c>
    </row>
    <row r="22" spans="1:25" x14ac:dyDescent="0.25">
      <c r="A22" s="20" t="s">
        <v>40</v>
      </c>
      <c r="B22" s="26" t="str">
        <f t="shared" si="5"/>
        <v/>
      </c>
      <c r="C22" s="45">
        <v>0</v>
      </c>
      <c r="D22" s="1">
        <v>0</v>
      </c>
      <c r="E22" s="106">
        <f>Denmark!E$29</f>
        <v>0</v>
      </c>
      <c r="F22" s="1">
        <f>Denmark!F$29</f>
        <v>0</v>
      </c>
      <c r="G22" s="1">
        <f>Denmark!G$29</f>
        <v>0</v>
      </c>
      <c r="H22" s="1">
        <f>Denmark!H$29</f>
        <v>0</v>
      </c>
      <c r="I22" s="1">
        <f>Denmark!I$29</f>
        <v>0</v>
      </c>
      <c r="J22" s="1">
        <f>Denmark!J$29</f>
        <v>0</v>
      </c>
      <c r="K22" s="1">
        <f>Denmark!K$29</f>
        <v>0</v>
      </c>
      <c r="L22" s="1">
        <f>Denmark!L$29</f>
        <v>0</v>
      </c>
      <c r="M22" s="1">
        <f>Denmark!M$29</f>
        <v>0</v>
      </c>
      <c r="N22" s="1">
        <f>Denmark!N$29</f>
        <v>0</v>
      </c>
      <c r="O22" s="1">
        <f>Denmark!O$29</f>
        <v>0</v>
      </c>
      <c r="P22" s="1">
        <f>Denmark!P$29</f>
        <v>0</v>
      </c>
      <c r="Q22" s="1">
        <f>Denmark!Q$29</f>
        <v>0</v>
      </c>
      <c r="R22" s="1">
        <f>Denmark!R$29</f>
        <v>0</v>
      </c>
      <c r="S22" s="1">
        <f>Denmark!S$29</f>
        <v>0</v>
      </c>
      <c r="T22" s="1">
        <f>Denmark!T$29</f>
        <v>0</v>
      </c>
      <c r="U22" s="1">
        <f>Denmark!U$29</f>
        <v>0</v>
      </c>
      <c r="V22" s="1">
        <f>Denmark!V$29</f>
        <v>0</v>
      </c>
      <c r="W22" s="28">
        <f>Denmark!W$29</f>
        <v>0</v>
      </c>
      <c r="Y22" s="3"/>
    </row>
    <row r="23" spans="1:25" x14ac:dyDescent="0.25">
      <c r="A23" s="39" t="s">
        <v>133</v>
      </c>
      <c r="B23" s="120">
        <f t="shared" si="5"/>
        <v>4.5787640449438269E-2</v>
      </c>
      <c r="C23" s="121">
        <v>-148.95240000000001</v>
      </c>
      <c r="D23" s="1">
        <v>-47</v>
      </c>
      <c r="E23" s="106">
        <f>France!E$38</f>
        <v>93.075100000000006</v>
      </c>
      <c r="F23" s="1">
        <f>France!F$38</f>
        <v>89</v>
      </c>
      <c r="G23" s="1">
        <f>France!G$38</f>
        <v>98</v>
      </c>
      <c r="H23" s="1">
        <f>France!H$38</f>
        <v>152</v>
      </c>
      <c r="I23" s="1">
        <f>France!I$38</f>
        <v>110</v>
      </c>
      <c r="J23" s="1">
        <f>France!J$38</f>
        <v>75</v>
      </c>
      <c r="K23" s="1">
        <f>France!K$38</f>
        <v>66</v>
      </c>
      <c r="L23" s="1">
        <f>France!L$38</f>
        <v>336</v>
      </c>
      <c r="M23" s="1">
        <f>France!M$38</f>
        <v>85</v>
      </c>
      <c r="N23" s="1">
        <f>France!N$38</f>
        <v>35</v>
      </c>
      <c r="O23" s="1">
        <f>France!O$38</f>
        <v>74</v>
      </c>
      <c r="P23" s="1">
        <f>France!P$38</f>
        <v>734</v>
      </c>
      <c r="Q23" s="1">
        <f>France!Q$38</f>
        <v>0</v>
      </c>
      <c r="R23" s="1">
        <f>France!R$38</f>
        <v>42</v>
      </c>
      <c r="S23" s="1">
        <f>France!S$38</f>
        <v>87</v>
      </c>
      <c r="T23" s="1"/>
      <c r="U23" s="1"/>
      <c r="V23" s="1"/>
      <c r="W23" s="28"/>
    </row>
    <row r="24" spans="1:25" x14ac:dyDescent="0.25">
      <c r="A24" s="20" t="s">
        <v>27</v>
      </c>
      <c r="B24" s="26">
        <f t="shared" si="5"/>
        <v>-1</v>
      </c>
      <c r="C24" s="45">
        <v>-137</v>
      </c>
      <c r="D24" s="1">
        <v>-423</v>
      </c>
      <c r="E24" s="106">
        <f>Germany!E$26</f>
        <v>0</v>
      </c>
      <c r="F24" s="1">
        <f>Germany!F$26</f>
        <v>5</v>
      </c>
      <c r="G24" s="1">
        <f>Germany!G$26</f>
        <v>0</v>
      </c>
      <c r="H24" s="1">
        <f>Germany!H$26</f>
        <v>74</v>
      </c>
      <c r="I24" s="1">
        <f>Germany!I$26</f>
        <v>0</v>
      </c>
      <c r="J24" s="1">
        <f>Germany!J$26</f>
        <v>0</v>
      </c>
      <c r="K24" s="1">
        <f>Germany!K$26</f>
        <v>0</v>
      </c>
      <c r="L24" s="1">
        <f>Germany!L$26</f>
        <v>0</v>
      </c>
      <c r="M24" s="1">
        <f>Germany!M$26</f>
        <v>0</v>
      </c>
      <c r="N24" s="1">
        <f>Germany!N$26</f>
        <v>0</v>
      </c>
      <c r="O24" s="1">
        <f>Germany!O$26</f>
        <v>0</v>
      </c>
      <c r="P24" s="1">
        <f>Germany!P$26</f>
        <v>0</v>
      </c>
      <c r="Q24" s="1">
        <f>Germany!Q$26</f>
        <v>0</v>
      </c>
      <c r="R24" s="1">
        <f>Germany!R$26</f>
        <v>60</v>
      </c>
      <c r="S24" s="1">
        <f>Germany!S$26</f>
        <v>0</v>
      </c>
      <c r="T24" s="1">
        <f>Germany!T$26</f>
        <v>63</v>
      </c>
      <c r="U24" s="1">
        <f>Germany!U$26</f>
        <v>0</v>
      </c>
      <c r="V24" s="1">
        <f>Germany!V$26</f>
        <v>49</v>
      </c>
      <c r="W24" s="28">
        <f>Germany!W$26</f>
        <v>0</v>
      </c>
      <c r="Y24" s="3"/>
    </row>
    <row r="25" spans="1:25" x14ac:dyDescent="0.25">
      <c r="A25" s="39" t="s">
        <v>16</v>
      </c>
      <c r="B25" s="26" t="str">
        <f t="shared" si="5"/>
        <v/>
      </c>
      <c r="C25" s="45">
        <v>0</v>
      </c>
      <c r="D25" s="1">
        <v>0</v>
      </c>
      <c r="E25" s="106">
        <f>Italy!E$29</f>
        <v>0</v>
      </c>
      <c r="F25" s="1">
        <f>Italy!F$29</f>
        <v>0</v>
      </c>
      <c r="G25" s="1">
        <f>Italy!G$29</f>
        <v>0</v>
      </c>
      <c r="H25" s="1">
        <f>Italy!H$29</f>
        <v>0</v>
      </c>
      <c r="I25" s="1">
        <f>Italy!I$29</f>
        <v>0</v>
      </c>
      <c r="J25" s="1">
        <f>Italy!J$29</f>
        <v>0</v>
      </c>
      <c r="K25" s="1">
        <f>Italy!K$29</f>
        <v>0</v>
      </c>
      <c r="L25" s="1">
        <f>Italy!L$29</f>
        <v>0</v>
      </c>
      <c r="M25" s="1">
        <f>Italy!M$29</f>
        <v>0</v>
      </c>
      <c r="N25" s="1">
        <f>Italy!N$29</f>
        <v>0</v>
      </c>
      <c r="O25" s="1">
        <f>Italy!O$29</f>
        <v>0</v>
      </c>
      <c r="P25" s="1">
        <f>Italy!P$29</f>
        <v>0</v>
      </c>
      <c r="Q25" s="1">
        <f>Italy!Q$29</f>
        <v>0</v>
      </c>
      <c r="R25" s="1">
        <f>Italy!R$29</f>
        <v>0</v>
      </c>
      <c r="S25" s="1">
        <f>Italy!S$29</f>
        <v>0</v>
      </c>
      <c r="T25" s="1">
        <f>Italy!T$29</f>
        <v>0</v>
      </c>
      <c r="U25" s="1">
        <f>Italy!U$29</f>
        <v>0</v>
      </c>
      <c r="V25" s="1">
        <f>Italy!V$29</f>
        <v>0</v>
      </c>
      <c r="W25" s="28">
        <f>Italy!W$29</f>
        <v>0</v>
      </c>
      <c r="Y25" s="3"/>
    </row>
    <row r="26" spans="1:25" x14ac:dyDescent="0.25">
      <c r="A26" s="39" t="s">
        <v>31</v>
      </c>
      <c r="B26" s="26" t="str">
        <f t="shared" si="5"/>
        <v/>
      </c>
      <c r="C26" s="45">
        <v>0</v>
      </c>
      <c r="D26" s="1">
        <v>0</v>
      </c>
      <c r="E26" s="106">
        <f>Poland!E$25</f>
        <v>0</v>
      </c>
      <c r="F26" s="1">
        <f>Poland!F$25</f>
        <v>0</v>
      </c>
      <c r="G26" s="1">
        <f>Poland!G$25</f>
        <v>0</v>
      </c>
      <c r="H26" s="1">
        <f>Poland!H$25</f>
        <v>0</v>
      </c>
      <c r="I26" s="1">
        <f>Poland!I$25</f>
        <v>0</v>
      </c>
      <c r="J26" s="1">
        <f>Poland!J$25</f>
        <v>0</v>
      </c>
      <c r="K26" s="1">
        <f>Poland!K$25</f>
        <v>0</v>
      </c>
      <c r="L26" s="1">
        <f>Poland!L$25</f>
        <v>0</v>
      </c>
      <c r="M26" s="37">
        <f>Poland!M$25</f>
        <v>0</v>
      </c>
      <c r="N26" s="37">
        <f>Poland!N$25</f>
        <v>0</v>
      </c>
      <c r="O26" s="37">
        <f>Poland!O$25</f>
        <v>0</v>
      </c>
      <c r="P26" s="37">
        <f>Poland!P$25</f>
        <v>0</v>
      </c>
      <c r="Q26" s="37">
        <f>Poland!Q$25</f>
        <v>0</v>
      </c>
      <c r="R26" s="37">
        <f>Poland!R$25</f>
        <v>0</v>
      </c>
      <c r="S26" s="37">
        <f>Poland!S$25</f>
        <v>0</v>
      </c>
      <c r="T26" s="37">
        <f>Poland!T$25</f>
        <v>0</v>
      </c>
      <c r="U26" s="37">
        <f>Poland!U$25</f>
        <v>0</v>
      </c>
      <c r="V26" s="37">
        <f>Poland!V$25</f>
        <v>0</v>
      </c>
      <c r="W26" s="58">
        <f>Poland!W$25</f>
        <v>0</v>
      </c>
      <c r="Y26" s="3"/>
    </row>
    <row r="27" spans="1:25" ht="14.4" x14ac:dyDescent="0.3">
      <c r="A27" s="39" t="s">
        <v>145</v>
      </c>
      <c r="B27" s="123" t="str">
        <f t="shared" si="5"/>
        <v/>
      </c>
      <c r="C27" s="77"/>
      <c r="D27" s="78"/>
      <c r="E27" s="114"/>
      <c r="F27" s="1">
        <f>Portugal!F14</f>
        <v>0</v>
      </c>
      <c r="G27" s="1">
        <f>Portugal!G14</f>
        <v>0</v>
      </c>
      <c r="H27" s="1">
        <f>Portugal!H14</f>
        <v>4060</v>
      </c>
      <c r="I27" s="1"/>
      <c r="J27" s="1"/>
      <c r="K27" s="1"/>
      <c r="L27" s="1"/>
      <c r="M27" s="37"/>
      <c r="N27" s="37"/>
      <c r="O27" s="37"/>
      <c r="P27" s="37"/>
      <c r="Q27" s="37"/>
      <c r="R27" s="37"/>
      <c r="S27" s="87"/>
      <c r="T27" s="87"/>
      <c r="U27" s="87"/>
      <c r="V27" s="87"/>
      <c r="W27" s="68"/>
      <c r="Y27" s="3"/>
    </row>
    <row r="28" spans="1:25" ht="14.4" hidden="1" x14ac:dyDescent="0.3">
      <c r="A28" s="39" t="s">
        <v>162</v>
      </c>
      <c r="B28" s="26" t="str">
        <f t="shared" si="5"/>
        <v/>
      </c>
      <c r="C28" s="45">
        <v>0</v>
      </c>
      <c r="D28" s="1">
        <v>0</v>
      </c>
      <c r="E28" s="106"/>
      <c r="F28" s="1"/>
      <c r="G28" s="1"/>
      <c r="H28" s="1"/>
      <c r="I28" s="1"/>
      <c r="J28" s="1"/>
      <c r="K28" s="1"/>
      <c r="L28" s="1"/>
      <c r="M28" s="37"/>
      <c r="N28" s="37"/>
      <c r="O28" s="37"/>
      <c r="P28" s="37"/>
      <c r="Q28" s="37"/>
      <c r="R28" s="37"/>
      <c r="S28" s="87"/>
      <c r="T28" s="87"/>
      <c r="U28" s="87"/>
      <c r="V28" s="87"/>
      <c r="W28" s="68"/>
      <c r="Y28" s="3"/>
    </row>
    <row r="29" spans="1:25" x14ac:dyDescent="0.25">
      <c r="A29" s="20" t="s">
        <v>37</v>
      </c>
      <c r="B29" s="26">
        <f t="shared" si="5"/>
        <v>-0.6440351153724857</v>
      </c>
      <c r="C29" s="45">
        <v>-1591</v>
      </c>
      <c r="D29" s="1">
        <v>-4434.9358315482641</v>
      </c>
      <c r="E29" s="106">
        <f>Spain!E$17</f>
        <v>2705</v>
      </c>
      <c r="F29" s="1">
        <f>Spain!F$17</f>
        <v>7599.0641684517359</v>
      </c>
      <c r="G29" s="1">
        <f>Spain!G$17</f>
        <v>1706.0140025187297</v>
      </c>
      <c r="H29" s="1">
        <f>Spain!H$17</f>
        <v>7404.3741253055905</v>
      </c>
      <c r="I29" s="1">
        <f>Spain!I$17</f>
        <v>3171.5913942422317</v>
      </c>
      <c r="J29" s="1">
        <f>Spain!J$17</f>
        <v>2697</v>
      </c>
      <c r="K29" s="1">
        <f>Spain!K$17</f>
        <v>3468</v>
      </c>
      <c r="L29" s="1">
        <f>Spain!L$17</f>
        <v>3272</v>
      </c>
      <c r="M29" s="1">
        <f>Spain!M$17</f>
        <v>1121</v>
      </c>
      <c r="N29" s="1">
        <f>Spain!N$17</f>
        <v>4001</v>
      </c>
      <c r="O29" s="1">
        <f>Spain!O$17</f>
        <v>2456.1191695413067</v>
      </c>
      <c r="P29" s="1">
        <f>Spain!P$17</f>
        <v>2392.4169156402399</v>
      </c>
      <c r="Q29" s="1">
        <f>Spain!Q$17</f>
        <v>7.6172171839191298</v>
      </c>
      <c r="R29" s="1">
        <f>Spain!R$17</f>
        <v>8036</v>
      </c>
      <c r="S29" s="1">
        <f>Spain!S$17</f>
        <v>2756.9684610957456</v>
      </c>
      <c r="T29" s="1">
        <f>Spain!T$17</f>
        <v>3677.0473453867339</v>
      </c>
      <c r="U29" s="1">
        <f>Spain!U$17</f>
        <v>1066</v>
      </c>
      <c r="V29" s="1">
        <f>Spain!V$17</f>
        <v>822</v>
      </c>
      <c r="W29" s="28">
        <f>Spain!W$17</f>
        <v>2724</v>
      </c>
      <c r="Y29" s="3"/>
    </row>
    <row r="30" spans="1:25" x14ac:dyDescent="0.25">
      <c r="A30" s="20" t="s">
        <v>60</v>
      </c>
      <c r="B30" s="26" t="str">
        <f t="shared" si="5"/>
        <v/>
      </c>
      <c r="C30" s="45">
        <v>-180</v>
      </c>
      <c r="D30" s="1">
        <v>0</v>
      </c>
      <c r="E30" s="106">
        <f>Switzerland!E$28</f>
        <v>0</v>
      </c>
      <c r="F30" s="1">
        <f>Switzerland!F$28</f>
        <v>0</v>
      </c>
      <c r="G30" s="1">
        <f>Switzerland!G$28</f>
        <v>0</v>
      </c>
      <c r="H30" s="1">
        <f>Switzerland!H$28</f>
        <v>0</v>
      </c>
      <c r="I30" s="1">
        <f>Switzerland!I$28</f>
        <v>0</v>
      </c>
      <c r="J30" s="1">
        <f>Switzerland!J$28</f>
        <v>0</v>
      </c>
      <c r="K30" s="1">
        <f>Switzerland!K$28</f>
        <v>0</v>
      </c>
      <c r="L30" s="1">
        <f>Switzerland!L$28</f>
        <v>0</v>
      </c>
      <c r="M30" s="1">
        <f>Switzerland!M$28</f>
        <v>0</v>
      </c>
      <c r="N30" s="1">
        <f>Switzerland!N$28</f>
        <v>0</v>
      </c>
      <c r="O30" s="1">
        <f>Switzerland!O$28</f>
        <v>0</v>
      </c>
      <c r="P30" s="1">
        <f>Switzerland!P$28</f>
        <v>0</v>
      </c>
      <c r="Q30" s="1">
        <f>Switzerland!Q$28</f>
        <v>0</v>
      </c>
      <c r="R30" s="1">
        <f>Switzerland!R$28</f>
        <v>2</v>
      </c>
      <c r="S30" s="1">
        <f>Switzerland!S$28</f>
        <v>0</v>
      </c>
      <c r="T30" s="1">
        <f>Switzerland!T$28</f>
        <v>0</v>
      </c>
      <c r="U30" s="1">
        <f>Switzerland!U$28</f>
        <v>0</v>
      </c>
      <c r="V30" s="1">
        <f>Switzerland!V$28</f>
        <v>0</v>
      </c>
      <c r="W30" s="28">
        <f>Switzerland!W$28</f>
        <v>0</v>
      </c>
      <c r="Y30" s="3"/>
    </row>
    <row r="31" spans="1:25" x14ac:dyDescent="0.25">
      <c r="A31" s="20" t="s">
        <v>1</v>
      </c>
      <c r="B31" s="26">
        <f t="shared" si="5"/>
        <v>-0.17224650025924004</v>
      </c>
      <c r="C31" s="45">
        <v>-17373</v>
      </c>
      <c r="D31" s="1">
        <v>-26620</v>
      </c>
      <c r="E31" s="106">
        <f>Netherlands!E$15</f>
        <v>22351</v>
      </c>
      <c r="F31" s="1">
        <f>Netherlands!F$15</f>
        <v>27002</v>
      </c>
      <c r="G31" s="1">
        <f>Netherlands!G$15</f>
        <v>21611</v>
      </c>
      <c r="H31" s="1">
        <f>Netherlands!H$15</f>
        <v>15042</v>
      </c>
      <c r="I31" s="1">
        <f>Netherlands!I$15</f>
        <v>15100</v>
      </c>
      <c r="J31" s="1">
        <f>Netherlands!J$15</f>
        <v>11502</v>
      </c>
      <c r="K31" s="1">
        <f>Netherlands!K$15</f>
        <v>15082</v>
      </c>
      <c r="L31" s="1">
        <f>Netherlands!L$15</f>
        <v>10245</v>
      </c>
      <c r="M31" s="1">
        <f>Netherlands!M$15</f>
        <v>18003</v>
      </c>
      <c r="N31" s="1">
        <f>Netherlands!N$15</f>
        <v>11091</v>
      </c>
      <c r="O31" s="1">
        <f>Netherlands!O$15</f>
        <v>9166</v>
      </c>
      <c r="P31" s="1">
        <f>Netherlands!P$15</f>
        <v>5000</v>
      </c>
      <c r="Q31" s="1">
        <f>Netherlands!Q$15</f>
        <v>1000</v>
      </c>
      <c r="R31" s="1">
        <f>Netherlands!R$15</f>
        <v>5000</v>
      </c>
      <c r="S31" s="1">
        <f>Netherlands!S$15</f>
        <v>0</v>
      </c>
      <c r="T31" s="1">
        <f>Netherlands!T$15</f>
        <v>0</v>
      </c>
      <c r="U31" s="1">
        <f>Netherlands!U$15</f>
        <v>0</v>
      </c>
      <c r="V31" s="1">
        <f>Netherlands!V$15</f>
        <v>0</v>
      </c>
      <c r="W31" s="28">
        <f>Netherlands!W$15</f>
        <v>0</v>
      </c>
    </row>
    <row r="32" spans="1:25" ht="13.8" thickBot="1" x14ac:dyDescent="0.3">
      <c r="A32" s="29" t="s">
        <v>35</v>
      </c>
      <c r="B32" s="27" t="str">
        <f t="shared" si="5"/>
        <v/>
      </c>
      <c r="C32" s="46">
        <v>-332</v>
      </c>
      <c r="D32" s="10">
        <v>-13</v>
      </c>
      <c r="E32" s="107">
        <f>UK!E$19</f>
        <v>46</v>
      </c>
      <c r="F32" s="10">
        <f>UK!F$19</f>
        <v>0</v>
      </c>
      <c r="G32" s="10">
        <f>UK!G$19</f>
        <v>40</v>
      </c>
      <c r="H32" s="10">
        <f>UK!H$19</f>
        <v>0</v>
      </c>
      <c r="I32" s="10">
        <f>UK!I$19</f>
        <v>0</v>
      </c>
      <c r="J32" s="10">
        <f>UK!J$19</f>
        <v>0</v>
      </c>
      <c r="K32" s="10">
        <f>UK!K$19</f>
        <v>0</v>
      </c>
      <c r="L32" s="10">
        <f>UK!L$19</f>
        <v>0</v>
      </c>
      <c r="M32" s="10">
        <f>UK!M$19</f>
        <v>0</v>
      </c>
      <c r="N32" s="10">
        <f>UK!N$19</f>
        <v>0</v>
      </c>
      <c r="O32" s="10">
        <f>UK!O$19</f>
        <v>150</v>
      </c>
      <c r="P32" s="10">
        <f>UK!P$19</f>
        <v>300</v>
      </c>
      <c r="Q32" s="10">
        <f>UK!Q$19</f>
        <v>100</v>
      </c>
      <c r="R32" s="10">
        <f>UK!R$19</f>
        <v>0</v>
      </c>
      <c r="S32" s="10">
        <f>UK!S$19</f>
        <v>200</v>
      </c>
      <c r="T32" s="10">
        <f>UK!T$19</f>
        <v>0</v>
      </c>
      <c r="U32" s="10">
        <f>UK!U$19</f>
        <v>0</v>
      </c>
      <c r="V32" s="10">
        <f>UK!V$19</f>
        <v>0</v>
      </c>
      <c r="W32" s="30">
        <f>UK!W$19</f>
        <v>0</v>
      </c>
      <c r="Y32" s="3"/>
    </row>
    <row r="33" spans="1:24" ht="13.8" thickBot="1" x14ac:dyDescent="0.3">
      <c r="A33" s="31" t="s">
        <v>22</v>
      </c>
      <c r="B33" s="32">
        <f t="shared" si="5"/>
        <v>-0.28431843245221922</v>
      </c>
      <c r="C33" s="124">
        <v>-23027.73042275447</v>
      </c>
      <c r="D33" s="33">
        <v>-35068.295831548268</v>
      </c>
      <c r="E33" s="108">
        <f t="shared" ref="E33" si="6">SUM(E20:E32)</f>
        <v>25911.297077245526</v>
      </c>
      <c r="F33" s="33">
        <f t="shared" ref="F33:K33" si="7">SUM(F20:F32)</f>
        <v>36205.064168451732</v>
      </c>
      <c r="G33" s="33">
        <f t="shared" si="7"/>
        <v>24264.014002518728</v>
      </c>
      <c r="H33" s="33">
        <f t="shared" si="7"/>
        <v>27535.374125305592</v>
      </c>
      <c r="I33" s="33">
        <f t="shared" si="7"/>
        <v>21681.591394242234</v>
      </c>
      <c r="J33" s="33">
        <f t="shared" si="7"/>
        <v>14274</v>
      </c>
      <c r="K33" s="33">
        <f t="shared" si="7"/>
        <v>21743</v>
      </c>
      <c r="L33" s="33">
        <f t="shared" ref="L33:Q33" si="8">SUM(L20:L32)</f>
        <v>13993</v>
      </c>
      <c r="M33" s="33">
        <f t="shared" si="8"/>
        <v>19359</v>
      </c>
      <c r="N33" s="33">
        <f t="shared" si="8"/>
        <v>15649</v>
      </c>
      <c r="O33" s="33">
        <f t="shared" si="8"/>
        <v>12264.119169541307</v>
      </c>
      <c r="P33" s="33">
        <f t="shared" si="8"/>
        <v>9421.4169156402404</v>
      </c>
      <c r="Q33" s="33">
        <f t="shared" si="8"/>
        <v>1702.6172171839191</v>
      </c>
      <c r="R33" s="33">
        <f t="shared" ref="R33:W33" si="9">SUM(R20:R32)</f>
        <v>13272</v>
      </c>
      <c r="S33" s="33">
        <f t="shared" si="9"/>
        <v>9343.9684610957447</v>
      </c>
      <c r="T33" s="33">
        <f t="shared" si="9"/>
        <v>7440.0473453867344</v>
      </c>
      <c r="U33" s="33">
        <f t="shared" si="9"/>
        <v>1066</v>
      </c>
      <c r="V33" s="33">
        <f t="shared" si="9"/>
        <v>41871</v>
      </c>
      <c r="W33" s="82">
        <f t="shared" si="9"/>
        <v>17624</v>
      </c>
    </row>
    <row r="34" spans="1:24" x14ac:dyDescent="0.25">
      <c r="A34" s="3" t="s">
        <v>166</v>
      </c>
      <c r="W34" s="1"/>
    </row>
    <row r="35" spans="1:24" x14ac:dyDescent="0.25">
      <c r="A35" s="47" t="s">
        <v>167</v>
      </c>
      <c r="F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4" x14ac:dyDescent="0.25">
      <c r="A36" s="47"/>
      <c r="F36" s="1"/>
      <c r="V36" s="1"/>
      <c r="W36" s="1"/>
    </row>
    <row r="37" spans="1:24" x14ac:dyDescent="0.25">
      <c r="D37" s="1"/>
      <c r="E37" s="1"/>
      <c r="F37" s="1"/>
      <c r="V37" s="1"/>
      <c r="W37" s="1"/>
    </row>
    <row r="38" spans="1:24" x14ac:dyDescent="0.25">
      <c r="A38" s="65"/>
      <c r="D38" s="1"/>
      <c r="E38" s="1"/>
      <c r="F38" s="1"/>
    </row>
    <row r="39" spans="1:24" ht="25.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3"/>
      <c r="W39" s="13"/>
    </row>
    <row r="40" spans="1:24" x14ac:dyDescent="0.25">
      <c r="V40" s="1"/>
      <c r="W40" s="1"/>
    </row>
    <row r="41" spans="1:24" ht="25.5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/>
      <c r="W41" s="17"/>
      <c r="X41" s="9"/>
    </row>
    <row r="42" spans="1:24" x14ac:dyDescent="0.25">
      <c r="V42" s="14"/>
      <c r="W42" s="14"/>
      <c r="X42" s="1"/>
    </row>
    <row r="43" spans="1:24" x14ac:dyDescent="0.25">
      <c r="V43" s="14"/>
      <c r="W43" s="14"/>
      <c r="X43" s="1"/>
    </row>
    <row r="44" spans="1:24" hidden="1" x14ac:dyDescent="0.25">
      <c r="G44" s="1"/>
      <c r="V44" s="14"/>
      <c r="W44" s="14"/>
      <c r="X44" s="1"/>
    </row>
    <row r="45" spans="1:24" hidden="1" x14ac:dyDescent="0.25">
      <c r="G45" s="1"/>
      <c r="V45" s="14"/>
      <c r="W45" s="14"/>
      <c r="X45" s="1"/>
    </row>
    <row r="46" spans="1:24" hidden="1" x14ac:dyDescent="0.25">
      <c r="G46" s="1"/>
      <c r="V46" s="14"/>
      <c r="W46" s="14"/>
      <c r="X46" s="1"/>
    </row>
    <row r="47" spans="1:24" hidden="1" x14ac:dyDescent="0.25">
      <c r="G47" s="1"/>
      <c r="V47" s="14"/>
      <c r="W47" s="14"/>
      <c r="X47" s="1"/>
    </row>
    <row r="48" spans="1:24" x14ac:dyDescent="0.25">
      <c r="V48" s="14"/>
      <c r="W48" s="14"/>
      <c r="X48" s="1"/>
    </row>
    <row r="49" spans="1:24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4"/>
      <c r="W49" s="14"/>
      <c r="X49" s="1"/>
    </row>
    <row r="50" spans="1:24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4"/>
      <c r="W50" s="14"/>
      <c r="X50" s="1"/>
    </row>
    <row r="51" spans="1:24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4"/>
      <c r="W51" s="14"/>
      <c r="X51" s="1"/>
    </row>
    <row r="52" spans="1:24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4"/>
      <c r="W52" s="14"/>
      <c r="X52" s="1"/>
    </row>
    <row r="53" spans="1:24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4"/>
      <c r="W53" s="14"/>
      <c r="X53" s="1"/>
    </row>
    <row r="54" spans="1:24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4"/>
      <c r="W54" s="14"/>
      <c r="X54" s="1"/>
    </row>
    <row r="55" spans="1:24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4"/>
      <c r="W55" s="14"/>
      <c r="X55" s="1"/>
    </row>
    <row r="56" spans="1:24" x14ac:dyDescent="0.25">
      <c r="V56" s="14"/>
      <c r="W56" s="14"/>
      <c r="X56" s="1"/>
    </row>
    <row r="57" spans="1:24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4"/>
      <c r="W57" s="14"/>
      <c r="X57" s="2"/>
    </row>
    <row r="58" spans="1:24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4"/>
      <c r="W58" s="14"/>
    </row>
    <row r="59" spans="1:24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4"/>
      <c r="W59" s="14"/>
      <c r="X59" s="1"/>
    </row>
    <row r="60" spans="1:24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4"/>
      <c r="W60" s="14"/>
      <c r="X60" s="1"/>
    </row>
    <row r="61" spans="1:24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4"/>
      <c r="W61" s="14"/>
      <c r="X61" s="1"/>
    </row>
    <row r="62" spans="1:24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4"/>
      <c r="W62" s="14"/>
      <c r="X62" s="1"/>
    </row>
    <row r="63" spans="1:24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4"/>
      <c r="W63" s="14"/>
      <c r="X63" s="1"/>
    </row>
    <row r="64" spans="1:24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4"/>
      <c r="W64" s="14"/>
      <c r="X64" s="2"/>
    </row>
    <row r="65" spans="1:23" ht="26.2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5"/>
      <c r="W65" s="15"/>
    </row>
    <row r="66" spans="1:23" x14ac:dyDescent="0.25">
      <c r="V66" s="1"/>
      <c r="W66" s="1"/>
    </row>
    <row r="67" spans="1:23" x14ac:dyDescent="0.25">
      <c r="V67" s="1"/>
      <c r="W67" s="1"/>
    </row>
    <row r="68" spans="1:23" x14ac:dyDescent="0.25">
      <c r="V68" s="1"/>
      <c r="W68" s="1"/>
    </row>
    <row r="69" spans="1:23" x14ac:dyDescent="0.25">
      <c r="V69" s="11"/>
      <c r="W69" s="11"/>
    </row>
    <row r="70" spans="1:23" x14ac:dyDescent="0.25">
      <c r="V70" s="11"/>
      <c r="W70" s="11"/>
    </row>
    <row r="71" spans="1:23" x14ac:dyDescent="0.25">
      <c r="V71" s="1"/>
      <c r="W71" s="11"/>
    </row>
    <row r="72" spans="1:23" x14ac:dyDescent="0.25">
      <c r="V72" s="1"/>
      <c r="W72" s="1"/>
    </row>
    <row r="73" spans="1:23" x14ac:dyDescent="0.25">
      <c r="V73" s="1"/>
      <c r="W73" s="1"/>
    </row>
    <row r="74" spans="1:23" x14ac:dyDescent="0.25">
      <c r="V74" s="1"/>
      <c r="W74" s="1"/>
    </row>
    <row r="75" spans="1:23" x14ac:dyDescent="0.25">
      <c r="V75" s="1"/>
      <c r="W75" s="1"/>
    </row>
    <row r="76" spans="1:23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2"/>
      <c r="W76" s="2"/>
    </row>
    <row r="81" spans="1:2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</sheetData>
  <phoneticPr fontId="2" type="noConversion"/>
  <conditionalFormatting sqref="E1">
    <cfRule type="expression" dxfId="28" priority="2">
      <formula>ISBLANK(XFD1)=FALSE</formula>
    </cfRule>
  </conditionalFormatting>
  <conditionalFormatting sqref="E19">
    <cfRule type="expression" dxfId="27" priority="1">
      <formula>ISBLANK(XFD19)=FALSE</formula>
    </cfRule>
  </conditionalFormatting>
  <pageMargins left="0.75" right="0.75" top="1" bottom="1" header="0.5" footer="0.5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C52"/>
  <sheetViews>
    <sheetView zoomScaleNormal="100" workbookViewId="0"/>
  </sheetViews>
  <sheetFormatPr defaultColWidth="9.109375" defaultRowHeight="13.2" x14ac:dyDescent="0.25"/>
  <cols>
    <col min="1" max="1" width="19.6640625" customWidth="1"/>
    <col min="2" max="2" width="12" bestFit="1" customWidth="1"/>
    <col min="3" max="3" width="11.33203125" customWidth="1"/>
    <col min="4" max="4" width="11.33203125" bestFit="1" customWidth="1"/>
    <col min="5" max="5" width="11.33203125" customWidth="1"/>
    <col min="6" max="12" width="11.44140625" customWidth="1"/>
    <col min="13" max="21" width="10.6640625" customWidth="1"/>
  </cols>
  <sheetData>
    <row r="1" spans="1:22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5">
        <v>39995</v>
      </c>
    </row>
    <row r="2" spans="1:22" x14ac:dyDescent="0.25">
      <c r="A2" s="39" t="s">
        <v>20</v>
      </c>
      <c r="B2" s="43" t="str">
        <f t="shared" ref="B2:B32" si="0">IFERROR(((E2-F2)/F2),"")</f>
        <v/>
      </c>
      <c r="C2" s="66">
        <v>0</v>
      </c>
      <c r="D2" s="37">
        <v>0</v>
      </c>
      <c r="E2" s="103">
        <f>Italy!E$2</f>
        <v>0</v>
      </c>
      <c r="F2" s="37">
        <f>Italy!F$2</f>
        <v>0</v>
      </c>
      <c r="G2" s="37">
        <f>Italy!G$2</f>
        <v>0</v>
      </c>
      <c r="H2" s="37">
        <f>Italy!H$2</f>
        <v>0</v>
      </c>
      <c r="I2" s="37">
        <f>Italy!I$2</f>
        <v>0</v>
      </c>
      <c r="J2" s="37">
        <f>Italy!J$2</f>
        <v>0</v>
      </c>
      <c r="K2" s="37">
        <f>Italy!K$2</f>
        <v>0</v>
      </c>
      <c r="L2" s="37">
        <f>Italy!L$2</f>
        <v>0</v>
      </c>
      <c r="M2" s="37">
        <f>Italy!M$2</f>
        <v>0</v>
      </c>
      <c r="N2" s="37">
        <f>Italy!N$2</f>
        <v>0</v>
      </c>
      <c r="O2" s="37">
        <f>Italy!O$2</f>
        <v>0</v>
      </c>
      <c r="P2" s="37">
        <f>Italy!P$2</f>
        <v>0</v>
      </c>
      <c r="Q2" s="37">
        <f>Italy!Q$2</f>
        <v>0</v>
      </c>
      <c r="R2" s="37">
        <f>Italy!R$2</f>
        <v>0</v>
      </c>
      <c r="S2" s="37">
        <f>Italy!S$2</f>
        <v>0</v>
      </c>
      <c r="T2" s="37">
        <f>Italy!T$2</f>
        <v>0</v>
      </c>
      <c r="U2" s="58">
        <f>Italy!U$2</f>
        <v>0</v>
      </c>
      <c r="V2" s="37"/>
    </row>
    <row r="3" spans="1:22" x14ac:dyDescent="0.25">
      <c r="A3" s="39" t="s">
        <v>4</v>
      </c>
      <c r="B3" s="43" t="str">
        <f t="shared" si="0"/>
        <v/>
      </c>
      <c r="C3" s="66">
        <v>-346.2747</v>
      </c>
      <c r="D3" s="37">
        <v>-565</v>
      </c>
      <c r="E3" s="103">
        <f>Austria!E$3+Belgium!E$2+Denmark!E$2+France!E$4+Germany!E$2+Switzerland!E$2+Netherlands!E$2+Poland!E$2</f>
        <v>58</v>
      </c>
      <c r="F3" s="37">
        <f>Austria!F$3+Belgium!F$2+Denmark!F$2+France!F$4+Germany!F$2+Switzerland!F$2+Netherlands!F$2+Poland!F$2</f>
        <v>0</v>
      </c>
      <c r="G3" s="37">
        <f>Austria!G$3+Belgium!G$2+Denmark!G$2+France!G$4+Germany!G$2+Switzerland!G$2+Netherlands!G$2+Poland!G$2</f>
        <v>51</v>
      </c>
      <c r="H3" s="37">
        <f>Austria!H$3+Belgium!H$2+Denmark!H$2+France!H$4+Germany!H$2+Switzerland!H$2+Netherlands!H$2+Poland!H$2</f>
        <v>21</v>
      </c>
      <c r="I3" s="37">
        <f>Austria!I$3+Belgium!I$2+Denmark!I$2+France!I$4+Germany!I$2+Switzerland!I$2+Netherlands!I$2+Poland!I$2</f>
        <v>0</v>
      </c>
      <c r="J3" s="37">
        <f>Austria!J$3+Belgium!J$2+Denmark!J$2+France!J$4+Germany!J$2+Switzerland!J$2+Netherlands!J$2+Poland!J$2</f>
        <v>0</v>
      </c>
      <c r="K3" s="37">
        <f>Austria!K$3+Belgium!K$2+Denmark!K$2+France!K$4+Germany!K$2+Switzerland!K$2+Netherlands!K$2+Poland!K$2</f>
        <v>97</v>
      </c>
      <c r="L3" s="37">
        <f>Austria!L$3+Belgium!L$2+Denmark!L$2+France!L$4+Germany!L$2+Switzerland!L$2+Netherlands!L$2+Poland!L$2</f>
        <v>0</v>
      </c>
      <c r="M3" s="37">
        <f>Austria!M$3+Belgium!M$2+Denmark!M$2+France!M$4+Germany!M$2+Switzerland!M$2+Netherlands!M$2+Poland!M$2</f>
        <v>133</v>
      </c>
      <c r="N3" s="37">
        <f>Austria!N$3+Belgium!N$2+Denmark!N$2+France!N$4+Germany!N$2+Switzerland!N$2+Netherlands!N$2+Poland!N$2</f>
        <v>9</v>
      </c>
      <c r="O3" s="37">
        <f>Austria!O$3+Belgium!O$2+Denmark!O$2+France!O$4+Germany!O$2+Switzerland!O$2+Netherlands!O$2+Poland!O$2</f>
        <v>0</v>
      </c>
      <c r="P3" s="37">
        <f>Austria!P$3+Belgium!P$2+Denmark!P$2+France!P$4+Germany!P$2+Switzerland!P$2+Netherlands!P$2+Poland!P$2</f>
        <v>51</v>
      </c>
      <c r="Q3" s="37">
        <f>Austria!Q$3+Belgium!Q$2+Denmark!Q$2+France!Q$4+Germany!Q$2+Switzerland!Q$2+Netherlands!Q$2+Poland!Q$2</f>
        <v>0</v>
      </c>
      <c r="R3" s="37">
        <f>Austria!R$3+Belgium!R$2+Denmark!R$2+France!R$4+Germany!R$2+Switzerland!R$2+Netherlands!R$2+Poland!R$2</f>
        <v>0</v>
      </c>
      <c r="S3" s="37">
        <f>Austria!S$3+Belgium!S$2+Denmark!S$2+France!S$4+Germany!S$2+Switzerland!S$2+Netherlands!S$2+Poland!S$2</f>
        <v>0</v>
      </c>
      <c r="T3" s="37">
        <f>Austria!T$3+Belgium!T$2+Denmark!T$2+France!T$4+Germany!T$2+Switzerland!T$2+Netherlands!T$2+Poland!T$2</f>
        <v>0</v>
      </c>
      <c r="U3" s="58">
        <f>Austria!U$3+Belgium!U$2+Denmark!U$2+Germany!U$2+Switzerland!U$2+Netherlands!U$2+Poland!U$2</f>
        <v>0</v>
      </c>
      <c r="V3" s="3"/>
    </row>
    <row r="4" spans="1:22" x14ac:dyDescent="0.25">
      <c r="A4" s="39" t="s">
        <v>11</v>
      </c>
      <c r="B4" s="43">
        <f t="shared" si="0"/>
        <v>-0.12227464469774672</v>
      </c>
      <c r="C4" s="66">
        <v>-10437.487339616357</v>
      </c>
      <c r="D4" s="37">
        <v>-7738.8291108724188</v>
      </c>
      <c r="E4" s="103">
        <f>Austria!E$4+France!E$5+Germany!E$3+Italy!E$3+Switzerland!E$3+UK!E$2+'Czech Republic'!E$2</f>
        <v>4722.5227408825094</v>
      </c>
      <c r="F4" s="37">
        <f>Austria!F$4+France!F$5+Germany!F$3+Italy!F$3+Switzerland!F$3+UK!F$2+'Czech Republic'!F$2</f>
        <v>5380.410526315789</v>
      </c>
      <c r="G4" s="37">
        <f>Austria!G$4+France!G$5+Germany!G$3+Italy!G$3+Switzerland!G$3+UK!G$2+'Czech Republic'!G$2</f>
        <v>4176.1607817303466</v>
      </c>
      <c r="H4" s="37">
        <f>Austria!H$4+France!H$5+Germany!H$3+Italy!H$3+Switzerland!H$3+UK!H$2+'Czech Republic'!H$2</f>
        <v>9700.4477821695218</v>
      </c>
      <c r="I4" s="37">
        <f>Austria!I$4+France!I$5+Germany!I$3+Italy!I$3+Switzerland!I$3+UK!I$2+'Czech Republic'!I$2</f>
        <v>5542.85</v>
      </c>
      <c r="J4" s="37">
        <f>Austria!J$4+France!J$5+Germany!J$3+Italy!J$3+Switzerland!J$3+UK!J$2+'Czech Republic'!J$2</f>
        <v>3028</v>
      </c>
      <c r="K4" s="37">
        <f>Austria!K$4+France!K$5+Germany!K$3+Italy!K$3+Switzerland!K$3+UK!K$2+'Czech Republic'!K$2</f>
        <v>17234.300000000003</v>
      </c>
      <c r="L4" s="37">
        <f>Austria!L$4+France!L$5+Germany!L$3+Italy!L$3+Switzerland!L$3+UK!L$2</f>
        <v>100</v>
      </c>
      <c r="M4" s="37">
        <f>Austria!M$4+France!M$5+Germany!M$3+Italy!M$3+Switzerland!M$3+UK!M$2</f>
        <v>2273</v>
      </c>
      <c r="N4" s="37">
        <f>Austria!N$4+France!N$5+Germany!N$3+Italy!N$3+Switzerland!N$3+UK!N$2</f>
        <v>927</v>
      </c>
      <c r="O4" s="37">
        <f>Austria!O$4+France!O$5+Germany!O$3+Italy!O$3+Switzerland!O$3+UK!O$2</f>
        <v>2845</v>
      </c>
      <c r="P4" s="37">
        <f>Austria!P$4+France!P$5+Germany!P$3+Italy!P$3+Switzerland!P$3+UK!P$2</f>
        <v>4611</v>
      </c>
      <c r="Q4" s="37">
        <f>Austria!Q$4+France!Q$5+Germany!Q$3+Italy!Q$3+Switzerland!Q$3+UK!Q$2</f>
        <v>117</v>
      </c>
      <c r="R4" s="37">
        <f>Austria!R$4+France!R$5+Germany!R$3+Italy!R$3+Switzerland!R$3+UK!R$2</f>
        <v>1522</v>
      </c>
      <c r="S4" s="37">
        <f>Austria!S$4+France!S$5+Germany!S$3+Italy!S$3+Switzerland!S$3+UK!S$2</f>
        <v>469</v>
      </c>
      <c r="T4" s="37">
        <f>Austria!T$4+France!T$5+Germany!T$3+Italy!T$3+Switzerland!T$3+UK!T$2</f>
        <v>3067.5</v>
      </c>
      <c r="U4" s="58">
        <f>Austria!U$4+Germany!U$3+Italy!U$3+Switzerland!U$3+UK!U$2</f>
        <v>168</v>
      </c>
    </row>
    <row r="5" spans="1:22" x14ac:dyDescent="0.25">
      <c r="A5" s="39" t="s">
        <v>36</v>
      </c>
      <c r="B5" s="43">
        <f t="shared" si="0"/>
        <v>5.7309644670050766</v>
      </c>
      <c r="C5" s="66">
        <v>-465</v>
      </c>
      <c r="D5" s="37">
        <v>-189</v>
      </c>
      <c r="E5" s="103">
        <f>UK!E$3</f>
        <v>2652</v>
      </c>
      <c r="F5" s="37">
        <f>UK!F$3</f>
        <v>394</v>
      </c>
      <c r="G5" s="37">
        <f>UK!G$3</f>
        <v>3024</v>
      </c>
      <c r="H5" s="37">
        <f>UK!H$3</f>
        <v>354</v>
      </c>
      <c r="I5" s="37">
        <f>UK!I$3</f>
        <v>3250</v>
      </c>
      <c r="J5" s="37">
        <f>UK!J$3</f>
        <v>2349</v>
      </c>
      <c r="K5" s="37">
        <f>UK!K$3</f>
        <v>4000</v>
      </c>
      <c r="L5" s="37">
        <f>UK!L$3</f>
        <v>3500</v>
      </c>
      <c r="M5" s="37">
        <f>UK!M$3</f>
        <v>0</v>
      </c>
      <c r="N5" s="37">
        <f>UK!N$3</f>
        <v>2000</v>
      </c>
      <c r="O5" s="37">
        <f>UK!O$3</f>
        <v>7000</v>
      </c>
      <c r="P5" s="37">
        <f>UK!P$3</f>
        <v>10200</v>
      </c>
      <c r="Q5" s="37">
        <f>UK!Q$3</f>
        <v>2000</v>
      </c>
      <c r="R5" s="37">
        <f>UK!R$3</f>
        <v>2000</v>
      </c>
      <c r="S5" s="37">
        <f>UK!S$3</f>
        <v>4000</v>
      </c>
      <c r="T5" s="37">
        <f>UK!T$3</f>
        <v>6000</v>
      </c>
      <c r="U5" s="58">
        <f>UK!U$3</f>
        <v>11000</v>
      </c>
    </row>
    <row r="6" spans="1:22" x14ac:dyDescent="0.25">
      <c r="A6" s="39" t="s">
        <v>28</v>
      </c>
      <c r="B6" s="43" t="str">
        <f t="shared" si="0"/>
        <v/>
      </c>
      <c r="C6" s="66">
        <v>-1182</v>
      </c>
      <c r="D6" s="37">
        <v>0</v>
      </c>
      <c r="E6" s="103">
        <f>France!E6+UK!E4</f>
        <v>312</v>
      </c>
      <c r="F6" s="37">
        <f>France!F6+UK!F4</f>
        <v>0</v>
      </c>
      <c r="G6" s="37">
        <f>France!G6+UK!G4</f>
        <v>332</v>
      </c>
      <c r="H6" s="37">
        <f>France!H6+UK!H4</f>
        <v>0</v>
      </c>
      <c r="I6" s="37">
        <f>France!I6+UK!I4</f>
        <v>0</v>
      </c>
      <c r="J6" s="37">
        <f>France!J6+UK!J4</f>
        <v>0</v>
      </c>
      <c r="K6" s="37">
        <f>France!K6+UK!K4</f>
        <v>0</v>
      </c>
      <c r="L6" s="37">
        <f>France!L6+UK!L4</f>
        <v>0</v>
      </c>
      <c r="M6" s="37">
        <f>France!M6+UK!M4</f>
        <v>0</v>
      </c>
      <c r="N6" s="37">
        <f>France!N6+UK!N4</f>
        <v>0</v>
      </c>
      <c r="O6" s="37">
        <f>France!O6+UK!O4</f>
        <v>0</v>
      </c>
      <c r="P6" s="37">
        <f>France!P6+UK!P4</f>
        <v>0</v>
      </c>
      <c r="Q6" s="37">
        <f>France!Q6+UK!Q4</f>
        <v>0</v>
      </c>
      <c r="R6" s="37">
        <f>France!R6+UK!R4</f>
        <v>32</v>
      </c>
      <c r="S6" s="37">
        <f>France!S6+UK!S4</f>
        <v>230</v>
      </c>
      <c r="T6" s="37">
        <f>France!T6+UK!T4</f>
        <v>53</v>
      </c>
      <c r="U6" s="58">
        <f>UK!U4</f>
        <v>0</v>
      </c>
    </row>
    <row r="7" spans="1:22" x14ac:dyDescent="0.25">
      <c r="A7" s="39" t="s">
        <v>32</v>
      </c>
      <c r="B7" s="43" t="str">
        <f t="shared" si="0"/>
        <v/>
      </c>
      <c r="C7" s="66">
        <v>0</v>
      </c>
      <c r="D7" s="37">
        <v>0</v>
      </c>
      <c r="E7" s="103">
        <f>Poland!E$3</f>
        <v>0</v>
      </c>
      <c r="F7" s="37">
        <f>Poland!F$3</f>
        <v>0</v>
      </c>
      <c r="G7" s="37">
        <f>Poland!G$3</f>
        <v>0</v>
      </c>
      <c r="H7" s="37">
        <f>Poland!H$3</f>
        <v>0</v>
      </c>
      <c r="I7" s="37">
        <f>Poland!I$3</f>
        <v>0</v>
      </c>
      <c r="J7" s="37">
        <f>Poland!J$3</f>
        <v>0</v>
      </c>
      <c r="K7" s="37">
        <f>Poland!K$3</f>
        <v>0</v>
      </c>
      <c r="L7" s="37">
        <f>Poland!L$3</f>
        <v>0</v>
      </c>
      <c r="M7" s="37">
        <f>Poland!M$3</f>
        <v>0</v>
      </c>
      <c r="N7" s="37">
        <f>Poland!N$3</f>
        <v>0</v>
      </c>
      <c r="O7" s="37">
        <f>Poland!O$3</f>
        <v>0</v>
      </c>
      <c r="P7" s="37">
        <f>Poland!P$3</f>
        <v>0</v>
      </c>
      <c r="Q7" s="37">
        <f>Poland!Q$3</f>
        <v>0</v>
      </c>
      <c r="R7" s="37">
        <f>Poland!R$3</f>
        <v>0</v>
      </c>
      <c r="S7" s="37">
        <f>Poland!S$3</f>
        <v>0</v>
      </c>
      <c r="T7" s="37">
        <f>Poland!T$3</f>
        <v>0</v>
      </c>
      <c r="U7" s="58">
        <f>Poland!U$3</f>
        <v>0</v>
      </c>
    </row>
    <row r="8" spans="1:22" x14ac:dyDescent="0.25">
      <c r="A8" s="39" t="s">
        <v>5</v>
      </c>
      <c r="B8" s="43" t="str">
        <f t="shared" si="0"/>
        <v/>
      </c>
      <c r="C8" s="66">
        <v>0</v>
      </c>
      <c r="D8" s="37">
        <v>0</v>
      </c>
      <c r="E8" s="103">
        <v>0</v>
      </c>
      <c r="F8" s="37">
        <f>Belgium!F$3+Denmark!F$4+Germany!F$4+Switzerland!F$4+UK!F$5</f>
        <v>0</v>
      </c>
      <c r="G8" s="37">
        <f>Belgium!G$3+Denmark!G$4+Germany!G$4+Switzerland!G$4+UK!G$5</f>
        <v>0</v>
      </c>
      <c r="H8" s="37">
        <f>Belgium!H$3+Denmark!H$4+Germany!H$4+Switzerland!H$4+UK!H$5</f>
        <v>0</v>
      </c>
      <c r="I8" s="37">
        <f>Belgium!I$3+Denmark!I$4+Germany!I$4+Switzerland!I$4+UK!I$5</f>
        <v>0</v>
      </c>
      <c r="J8" s="37">
        <f>Belgium!J$3+Denmark!J$4+Germany!J$4+Switzerland!J$4+UK!J$5</f>
        <v>0</v>
      </c>
      <c r="K8" s="37">
        <f>Belgium!K$3+Denmark!K$4+Germany!K$4+Switzerland!K$4+UK!K$5</f>
        <v>0</v>
      </c>
      <c r="L8" s="37">
        <f>Belgium!L$3+Denmark!L$4+Germany!L$4+Switzerland!L$4+UK!L$5</f>
        <v>0</v>
      </c>
      <c r="M8" s="37">
        <f>Belgium!M$3+Denmark!M$4+Germany!M$4+Switzerland!M$4+UK!M$5</f>
        <v>0</v>
      </c>
      <c r="N8" s="37">
        <f>Belgium!N$3+Denmark!N$4+Germany!N$4+Switzerland!N$4+UK!N$5</f>
        <v>0</v>
      </c>
      <c r="O8" s="37">
        <f>Belgium!O$3+Denmark!O$4+Germany!O$4+Switzerland!O$4+UK!O$5</f>
        <v>0</v>
      </c>
      <c r="P8" s="37">
        <f>Belgium!P$3+Denmark!P$4+Germany!P$4+Switzerland!P$4+UK!P$5</f>
        <v>0</v>
      </c>
      <c r="Q8" s="37">
        <f>Belgium!Q$3+Denmark!Q$4+Germany!Q$4+Switzerland!Q$4+UK!Q$5</f>
        <v>0</v>
      </c>
      <c r="R8" s="37">
        <f>Belgium!R$3+Denmark!R$4+Germany!R$4+Switzerland!R$4+UK!R$5</f>
        <v>0</v>
      </c>
      <c r="S8" s="37">
        <f>Belgium!S$3+Denmark!S$4+Germany!S$4+Switzerland!S$4+UK!S$5</f>
        <v>0</v>
      </c>
      <c r="T8" s="37">
        <f>Belgium!T$3+Denmark!T$4+Germany!T$4+Switzerland!T$4+UK!T$5</f>
        <v>0</v>
      </c>
      <c r="U8" s="58">
        <f>Belgium!U$3+Denmark!U$4+Germany!U$4+Switzerland!U$4+UK!U$5</f>
        <v>0</v>
      </c>
    </row>
    <row r="9" spans="1:22" x14ac:dyDescent="0.25">
      <c r="A9" s="39" t="s">
        <v>61</v>
      </c>
      <c r="B9" s="43">
        <f t="shared" si="0"/>
        <v>0.97966175342932593</v>
      </c>
      <c r="C9" s="66">
        <v>-19038.9771</v>
      </c>
      <c r="D9" s="37">
        <v>-17015.298000000003</v>
      </c>
      <c r="E9" s="103">
        <f>France!E$8+Italy!E$4</f>
        <v>6970.5869999999995</v>
      </c>
      <c r="F9" s="37">
        <f>France!F$8+Italy!F$4</f>
        <v>3521.1</v>
      </c>
      <c r="G9" s="37">
        <f>France!G$8+Italy!G$4</f>
        <v>4237</v>
      </c>
      <c r="H9" s="37">
        <f>France!H$8+Italy!H$4</f>
        <v>2272.1999999999998</v>
      </c>
      <c r="I9" s="37">
        <f>France!I$8+Italy!I$4</f>
        <v>3241.7</v>
      </c>
      <c r="J9" s="37">
        <f>France!J$8+Italy!J$4</f>
        <v>4032</v>
      </c>
      <c r="K9" s="37">
        <f>France!K$8+Italy!K$4</f>
        <v>186</v>
      </c>
      <c r="L9" s="37">
        <f>France!L$8+Italy!L$4</f>
        <v>298</v>
      </c>
      <c r="M9" s="37">
        <f>France!M$8+Italy!M$4</f>
        <v>1679</v>
      </c>
      <c r="N9" s="37">
        <f>France!N$8+Italy!N$4</f>
        <v>257</v>
      </c>
      <c r="O9" s="37">
        <f>France!O$8+Italy!O$4</f>
        <v>276</v>
      </c>
      <c r="P9" s="37">
        <f>France!P$8+Italy!P$4</f>
        <v>1767</v>
      </c>
      <c r="Q9" s="37">
        <f>France!Q$8+Italy!Q$4</f>
        <v>0</v>
      </c>
      <c r="R9" s="37">
        <f>France!R$8+Italy!R$4</f>
        <v>11</v>
      </c>
      <c r="S9" s="37">
        <f>France!S$8+Italy!S$4</f>
        <v>330</v>
      </c>
      <c r="T9" s="37">
        <f>France!T$8+Italy!T$4</f>
        <v>1155</v>
      </c>
      <c r="U9" s="58"/>
    </row>
    <row r="10" spans="1:22" x14ac:dyDescent="0.25">
      <c r="A10" s="39" t="s">
        <v>2</v>
      </c>
      <c r="B10" s="43">
        <f t="shared" si="0"/>
        <v>3.4175824175824174</v>
      </c>
      <c r="C10" s="66">
        <v>-6630</v>
      </c>
      <c r="D10" s="37">
        <v>-1556.5555555555557</v>
      </c>
      <c r="E10" s="103">
        <f>Austria!E$5+Belgium!E$4+Denmark!E$5+France!E$9+Germany!E$5+Italy!E$5+Switzerland!E$5+Netherlands!E$3+Poland!E$4</f>
        <v>804</v>
      </c>
      <c r="F10" s="37">
        <f>Austria!F$5+Belgium!F$4+Denmark!F$5+France!F$9+Germany!F$5+Italy!F$5+Switzerland!F$5+Netherlands!F$3+Poland!F$4</f>
        <v>182</v>
      </c>
      <c r="G10" s="37">
        <f>Austria!G$5+Belgium!G$4+Denmark!G$5+France!G$9+Germany!G$5+Italy!G$5+Switzerland!G$5+Netherlands!G$3+Poland!G$4</f>
        <v>1127.217391304348</v>
      </c>
      <c r="H10" s="37">
        <f>Austria!H$5+Belgium!H$4+Denmark!H$5+France!H$9+Germany!H$5+Italy!H$5+Switzerland!H$5+Netherlands!H$3+Poland!H$4</f>
        <v>3726</v>
      </c>
      <c r="I10" s="37">
        <f>Austria!I$5+Belgium!I$4+Denmark!I$5+France!I$9+Germany!I$5+Italy!I$5+Switzerland!I$5+Netherlands!I$3+Poland!I$4</f>
        <v>326</v>
      </c>
      <c r="J10" s="37">
        <f>Austria!J$5+Belgium!J$4+Denmark!J$5+France!J$9+Germany!J$5+Italy!J$5+Switzerland!J$5+Netherlands!J$3+Poland!J$4</f>
        <v>734</v>
      </c>
      <c r="K10" s="37">
        <f>Austria!K$5+Belgium!K$4+Denmark!K$5+France!K$9+Germany!K$5+Italy!K$5+Switzerland!K$5+Netherlands!K$3+Poland!K$4</f>
        <v>1415</v>
      </c>
      <c r="L10" s="37">
        <f>Austria!L$5+Belgium!L$4+Denmark!L$5+France!L$9+Germany!L$5+Italy!L$5+Switzerland!L$5+Netherlands!L$3+Poland!L$4</f>
        <v>358</v>
      </c>
      <c r="M10" s="37">
        <f>Austria!M$5+Belgium!M$4+Denmark!M$5+France!M$9+Germany!M$5+Italy!M$5+Switzerland!M$5+Netherlands!M$3+Poland!M$4</f>
        <v>1556</v>
      </c>
      <c r="N10" s="37">
        <f>Austria!N$5+Belgium!N$4+Denmark!N$5+France!N$9+Germany!N$5+Italy!N$5+Switzerland!N$5+Netherlands!N$3+Poland!N$4</f>
        <v>1520</v>
      </c>
      <c r="O10" s="37">
        <f>Austria!O$5+Belgium!O$4+Denmark!O$5+France!O$9+Germany!O$5+Italy!O$5+Switzerland!O$5+Netherlands!O$3+Poland!O$4</f>
        <v>4246</v>
      </c>
      <c r="P10" s="37">
        <f>Austria!P$5+Belgium!P$4+Denmark!P$5+France!P$9+Germany!P$5+Italy!P$5+Switzerland!P$5+Netherlands!P$3+Poland!P$4</f>
        <v>1410</v>
      </c>
      <c r="Q10" s="37">
        <f>Austria!Q$5+Belgium!Q$4+Denmark!Q$5+France!Q$9+Germany!Q$5+Italy!Q$5+Switzerland!Q$5+Netherlands!Q$3+Poland!Q$4</f>
        <v>530</v>
      </c>
      <c r="R10" s="37">
        <f>Austria!R$5+Belgium!R$4+Denmark!R$5+France!R$9+Germany!R$5+Italy!R$5+Switzerland!R$5+Netherlands!R$3+Poland!R$4</f>
        <v>1508</v>
      </c>
      <c r="S10" s="37">
        <f>Austria!S$5+Belgium!S$4+Denmark!S$5+France!S$9+Germany!S$5+Italy!S$5+Switzerland!S$5+Netherlands!S$3+Poland!S$4</f>
        <v>5</v>
      </c>
      <c r="T10" s="37">
        <f>Austria!T$5+Belgium!T$4+Denmark!T$5+France!T$9+Germany!T$5+Italy!T$5+Switzerland!T$5+Netherlands!T$3+Poland!T$4</f>
        <v>98</v>
      </c>
      <c r="U10" s="58">
        <f>Austria!U$5+Belgium!U$4+Denmark!U$5+Germany!U$5+Italy!U$5+Switzerland!U$5+Netherlands!U$3+Poland!U$4</f>
        <v>3</v>
      </c>
    </row>
    <row r="11" spans="1:22" x14ac:dyDescent="0.25">
      <c r="A11" s="39" t="s">
        <v>12</v>
      </c>
      <c r="B11" s="43">
        <f t="shared" si="0"/>
        <v>0.25907386709456098</v>
      </c>
      <c r="C11" s="66">
        <v>-7284.6843775415036</v>
      </c>
      <c r="D11" s="37">
        <v>-5078.7580619847595</v>
      </c>
      <c r="E11" s="103">
        <f>Austria!E$7+Denmark!E$6+France!E$10+Germany!E$6+Italy!E$6+Spain!E$2</f>
        <v>2634.817494736842</v>
      </c>
      <c r="F11" s="37">
        <f>Austria!F$7+Denmark!F$6+France!F$10+Germany!F$6+Italy!F$6+Spain!F$2</f>
        <v>2092.6631578947367</v>
      </c>
      <c r="G11" s="37">
        <f>Austria!G$7+Denmark!G$6+France!G$10+Germany!G$6+Italy!G$6+Spain!G$2</f>
        <v>1858.0425967054507</v>
      </c>
      <c r="H11" s="37">
        <f>Austria!H$7+Denmark!H$6+France!H$10+Germany!H$6+Italy!H$6+Spain!H$2</f>
        <v>7613.6463616195206</v>
      </c>
      <c r="I11" s="37">
        <f>Austria!I$7+Denmark!I$6+France!I$10+Germany!I$6+Italy!I$6+Spain!I$2</f>
        <v>7276.2471294753796</v>
      </c>
      <c r="J11" s="37">
        <f>Austria!J$7+Denmark!J$6+France!J$10+Germany!J$6+Italy!J$6+Spain!J$2</f>
        <v>4437</v>
      </c>
      <c r="K11" s="37">
        <f>Austria!K$7+Denmark!K$6+France!K$10+Germany!K$6+Italy!K$6+Spain!K$2</f>
        <v>11978.2</v>
      </c>
      <c r="L11" s="37">
        <f>Austria!L$7+Denmark!L$6+France!L$10+Germany!L$6+Italy!L$6+Spain!L$2</f>
        <v>533</v>
      </c>
      <c r="M11" s="37">
        <f>Austria!M$7+Denmark!M$6+France!M$10+Germany!M$6+Italy!M$6+Spain!M$2</f>
        <v>7071</v>
      </c>
      <c r="N11" s="37">
        <f>Austria!N$7+Denmark!N$6+France!N$10+Germany!N$6+Italy!N$6+Spain!N$2</f>
        <v>6285</v>
      </c>
      <c r="O11" s="37">
        <f>Austria!O$7+Denmark!O$6+France!O$10+Germany!O$6+Italy!O$6+Spain!O$2</f>
        <v>1741.28</v>
      </c>
      <c r="P11" s="37">
        <f>Austria!P$7+Denmark!P$6+France!P$10+Germany!P$6+Italy!P$6+Spain!P$2</f>
        <v>11347.520816839809</v>
      </c>
      <c r="Q11" s="37">
        <f>Austria!Q$7+Denmark!Q$6+France!Q$10+Germany!Q$6+Italy!Q$6+Spain!Q$2</f>
        <v>294.7</v>
      </c>
      <c r="R11" s="37">
        <f>Austria!R$7+Denmark!R$6+France!R$10+Germany!R$6+Italy!R$6+Spain!R$2</f>
        <v>1609</v>
      </c>
      <c r="S11" s="37">
        <f>Austria!S$7+Denmark!S$6+France!S$10+Germany!S$6+Italy!S$6+Spain!S$2</f>
        <v>1937.8544999999999</v>
      </c>
      <c r="T11" s="37">
        <f>Austria!T$7+Denmark!T$6+France!T$10+Germany!T$6+Italy!T$6+Spain!T$2</f>
        <v>1727</v>
      </c>
      <c r="U11" s="58">
        <f>Austria!U$7+Denmark!U$6+Germany!U$6+Italy!U$6+Spain!U$2</f>
        <v>737</v>
      </c>
    </row>
    <row r="12" spans="1:22" x14ac:dyDescent="0.25">
      <c r="A12" s="39" t="s">
        <v>9</v>
      </c>
      <c r="B12" s="43">
        <f t="shared" si="0"/>
        <v>0.24177433287260677</v>
      </c>
      <c r="C12" s="66">
        <v>-13419.375115083161</v>
      </c>
      <c r="D12" s="37">
        <v>-12473.692356323711</v>
      </c>
      <c r="E12" s="103">
        <f>Austria!E$8+'Czech Republic'!E$3+Denmark!E$7+France!E$11+Germany!E$7+Italy!E$7+Spain!E$3+Switzerland!E$6+UK!E$6+Poland!E$5</f>
        <v>9230.6294880914411</v>
      </c>
      <c r="F12" s="37">
        <f>Austria!F$8+'Czech Republic'!F$3+Denmark!F$7+France!F$11+Germany!F$7+Italy!F$7+Spain!F$3+Switzerland!F$6+UK!F$6+Poland!F$5</f>
        <v>7433.4194577352473</v>
      </c>
      <c r="G12" s="37">
        <f>Austria!G$8+'Czech Republic'!G$3+Denmark!G$7+France!G$11+Germany!G$7+Italy!G$7+Spain!G$3+Switzerland!G$6+UK!G$6+Poland!G$5</f>
        <v>14683.697848045675</v>
      </c>
      <c r="H12" s="37">
        <f>Austria!H$8+'Czech Republic'!H$3+Denmark!H$7+France!H$11+Germany!H$7+Italy!H$7+Spain!H$3+Switzerland!H$6+UK!H$6+Poland!H$5</f>
        <v>18698.474308300396</v>
      </c>
      <c r="I12" s="37">
        <f>Austria!I$8+'Czech Republic'!I$3+Denmark!I$7+France!I$11+Germany!I$7+Italy!I$7+Spain!I$3+Switzerland!I$6+UK!I$6+Poland!I$5</f>
        <v>14447.15</v>
      </c>
      <c r="J12" s="37">
        <f>Austria!J$8+'Czech Republic'!J$3+Denmark!J$7+France!J$11+Germany!J$7+Italy!J$7+Spain!J$3+Switzerland!J$6+UK!J$6+Poland!J$5</f>
        <v>8431</v>
      </c>
      <c r="K12" s="37">
        <f>Austria!K$8+'Czech Republic'!K$3+Denmark!K$7+France!K$11+Germany!K$7+Italy!K$7+Spain!K$3+Switzerland!K$6+UK!K$6+Poland!K$5</f>
        <v>11155</v>
      </c>
      <c r="L12" s="37">
        <f>Austria!L$8+'Czech Republic'!L$3+Denmark!L$7+France!L$11+Germany!L$7+Italy!L$7+Spain!L$3+Switzerland!L$6+UK!L$6+Poland!L$5</f>
        <v>477</v>
      </c>
      <c r="M12" s="37">
        <f>Austria!M$8+'Czech Republic'!M$3+Denmark!M$7+France!M$11+Germany!M$7+Italy!M$7+Spain!M$3+Switzerland!M$6+UK!M$6+Poland!M$5</f>
        <v>3317</v>
      </c>
      <c r="N12" s="37">
        <f>Austria!N$8+'Czech Republic'!N$3+Denmark!N$7+France!N$11+Germany!N$7+Italy!N$7+Spain!N$3+Switzerland!N$6+UK!N$6+Poland!N$5</f>
        <v>1932</v>
      </c>
      <c r="O12" s="37">
        <f>Austria!O$8+'Czech Republic'!O$3+Denmark!O$7+France!O$11+Germany!O$7+Italy!O$7+Spain!O$3+Switzerland!O$6+UK!O$6+Poland!O$5</f>
        <v>3363</v>
      </c>
      <c r="P12" s="37">
        <f>Austria!P$8+'Czech Republic'!P$3+Denmark!P$7+France!P$11+Germany!P$7+Italy!P$7+Spain!P$3+Switzerland!P$6+UK!P$6+Poland!P$5</f>
        <v>5174</v>
      </c>
      <c r="Q12" s="37">
        <f>Austria!Q$8+'Czech Republic'!Q$3+Denmark!Q$7+France!Q$11+Germany!Q$7+Italy!Q$7+Spain!Q$3+Switzerland!Q$6+UK!Q$6+Poland!Q$5</f>
        <v>1217</v>
      </c>
      <c r="R12" s="37">
        <f>Austria!R$8+'Czech Republic'!R$3+Denmark!R$7+France!R$11+Germany!R$7+Italy!R$7+Spain!R$3+Switzerland!R$6+UK!R$6+Poland!R$5</f>
        <v>4206</v>
      </c>
      <c r="S12" s="37">
        <f>Austria!S$8+'Czech Republic'!S$3+Denmark!S$7+France!S$11+Germany!S$7+Italy!S$7+Spain!S$3+Switzerland!S$6+UK!S$6+Poland!S$5</f>
        <v>3461.8526700925559</v>
      </c>
      <c r="T12" s="37">
        <f>Austria!T$8+'Czech Republic'!T$3+Denmark!T$7+France!T$11+Germany!T$7+Italy!T$7+Spain!T$3+Switzerland!T$6+UK!T$6+Poland!T$5</f>
        <v>5366.5</v>
      </c>
      <c r="U12" s="58">
        <f>Austria!U$8+'Czech Republic'!U$3+Denmark!U$7+Germany!U$7+Italy!U$7+Spain!U$3+Switzerland!U$6+UK!U$6+Poland!U$5</f>
        <v>1874</v>
      </c>
    </row>
    <row r="13" spans="1:22" x14ac:dyDescent="0.25">
      <c r="A13" s="39" t="s">
        <v>14</v>
      </c>
      <c r="B13" s="43">
        <f t="shared" si="0"/>
        <v>0</v>
      </c>
      <c r="C13" s="66">
        <v>-500</v>
      </c>
      <c r="D13" s="37">
        <v>-500</v>
      </c>
      <c r="E13" s="103">
        <f>Austria!E$9+Belgium!E$5+'Czech Republic'!E$4+Denmark!E$8+Germany!E$8+Italy!E$8+Poland!E$6</f>
        <v>500</v>
      </c>
      <c r="F13" s="37">
        <f>Austria!F$9+Belgium!F$5+'Czech Republic'!F$4+Denmark!F$8+Germany!F$8+Italy!F$8+Poland!F$6</f>
        <v>500</v>
      </c>
      <c r="G13" s="37">
        <f>Austria!G$9+Belgium!G$5+'Czech Republic'!G$4+Denmark!G$8+Germany!G$8+Italy!G$8+Poland!G$6</f>
        <v>1000</v>
      </c>
      <c r="H13" s="37">
        <f>Austria!H$9+Belgium!H$5+'Czech Republic'!H$4+Denmark!H$8+Germany!H$8+Italy!H$8+Poland!H$6</f>
        <v>5000</v>
      </c>
      <c r="I13" s="37">
        <f>Austria!I$9+Belgium!I$5+'Czech Republic'!I$4+Denmark!I$8+Germany!I$8+Italy!I$8+Poland!I$6</f>
        <v>10000</v>
      </c>
      <c r="J13" s="37">
        <f>Austria!J$9+Belgium!J$5+'Czech Republic'!J$4+Denmark!J$8+Germany!J$8+Italy!J$8+Poland!J$6</f>
        <v>0</v>
      </c>
      <c r="K13" s="37">
        <f>Austria!K$9+Belgium!K$5+'Czech Republic'!K$4+Denmark!K$8+Germany!K$8+Italy!K$8+Poland!K$6</f>
        <v>10140</v>
      </c>
      <c r="L13" s="37">
        <f>Austria!L$9+Belgium!L$5+'Czech Republic'!L$4+Denmark!L$8+Germany!L$8+Italy!L$8+Poland!L$6</f>
        <v>8000</v>
      </c>
      <c r="M13" s="37">
        <f>Austria!M$9+Belgium!M$5+'Czech Republic'!M$4+Denmark!M$8+Germany!M$8+Italy!M$8+Poland!M$6</f>
        <v>8002</v>
      </c>
      <c r="N13" s="37">
        <f>Austria!N$9+Belgium!N$5+'Czech Republic'!N$4+Denmark!N$8+Germany!N$8+Italy!N$8+Poland!N$6</f>
        <v>5085</v>
      </c>
      <c r="O13" s="37">
        <f>Austria!O$9+Belgium!O$5+'Czech Republic'!O$4+Denmark!O$8+Germany!O$8+Italy!O$8+Poland!O$6</f>
        <v>2000</v>
      </c>
      <c r="P13" s="37">
        <f>Austria!P$9+Belgium!P$5+'Czech Republic'!P$4+Denmark!P$8+Germany!P$8+Italy!P$8+Poland!P$6</f>
        <v>1010</v>
      </c>
      <c r="Q13" s="37">
        <f>Austria!Q$9+Belgium!Q$5+'Czech Republic'!Q$4+Denmark!Q$8+Germany!Q$8+Italy!Q$8+Poland!Q$6</f>
        <v>1001</v>
      </c>
      <c r="R13" s="37">
        <f>Austria!R$9+Belgium!R$5+'Czech Republic'!R$4+Denmark!R$8+Germany!R$8+Italy!R$8+Poland!R$6</f>
        <v>1000</v>
      </c>
      <c r="S13" s="37">
        <f>Austria!S$9+Belgium!S$5+'Czech Republic'!S$4+Denmark!S$8+Germany!S$8+Italy!S$8+Poland!S$6</f>
        <v>187</v>
      </c>
      <c r="T13" s="37">
        <f>Austria!T$9+Belgium!T$5+'Czech Republic'!T$4+Denmark!T$8+Germany!T$8+Italy!T$8+Poland!T$6</f>
        <v>365</v>
      </c>
      <c r="U13" s="58">
        <f>Austria!U$9+Belgium!U$5+'Czech Republic'!U$4+Denmark!U$8+Germany!U$8+Italy!U$8+Poland!U$6</f>
        <v>43</v>
      </c>
    </row>
    <row r="14" spans="1:22" x14ac:dyDescent="0.25">
      <c r="A14" s="39" t="s">
        <v>3</v>
      </c>
      <c r="B14" s="43">
        <f t="shared" si="0"/>
        <v>-0.37132819344095241</v>
      </c>
      <c r="C14" s="66">
        <v>-111493.32303993287</v>
      </c>
      <c r="D14" s="37">
        <v>-114587.30148900131</v>
      </c>
      <c r="E14" s="103">
        <f>Austria!E$10+Belgium!E$6+'Czech Republic'!E$5+France!E$12+Germany!E$9+Italy!E$9+Spain!E$4+Switzerland!E$8+Netherlands!E$4+Poland!E$7</f>
        <v>162009.44647004444</v>
      </c>
      <c r="F14" s="37">
        <f>Austria!F$10+Belgium!F$6+'Czech Republic'!F$5+France!F$12+Germany!F$9+Italy!F$9+Spain!F$4+Switzerland!F$8+Netherlands!F$4+Poland!F$7</f>
        <v>257701.14832535887</v>
      </c>
      <c r="G14" s="37">
        <f>Austria!G$10+Belgium!G$6+'Czech Republic'!G$5+France!G$12+Germany!G$9+Italy!G$9+Spain!G$4+Switzerland!G$8+Netherlands!G$4+Poland!G$7</f>
        <v>120532.52636689652</v>
      </c>
      <c r="H14" s="37">
        <f>Austria!H$10+Belgium!H$6+'Czech Republic'!H$5+France!H$12+Germany!H$9+Italy!H$9+Spain!H$4+Switzerland!H$8+Netherlands!H$4+Poland!H$7</f>
        <v>217729.05010615673</v>
      </c>
      <c r="I14" s="37">
        <f>Austria!I$10+Belgium!I$6+'Czech Republic'!I$5+France!I$12+Germany!I$9+Italy!I$9+Spain!I$4+Switzerland!I$8+Netherlands!I$4+Poland!I$7</f>
        <v>192602.61457069262</v>
      </c>
      <c r="J14" s="37">
        <f>Austria!J$10+Belgium!J$6+'Czech Republic'!J$5+France!J$12+Germany!J$9+Italy!J$9+Spain!J$4+Switzerland!J$8+Netherlands!J$4+Poland!J$7</f>
        <v>203241.74820417553</v>
      </c>
      <c r="K14" s="37">
        <f>Austria!K$10+Belgium!K$6+'Czech Republic'!K$5+France!K$12+Germany!K$9+Italy!K$9+Spain!K$4+Switzerland!K$8+Netherlands!K$4+Poland!K$7</f>
        <v>238671.59999999998</v>
      </c>
      <c r="L14" s="37">
        <f>Austria!L$10+Belgium!L$6+'Czech Republic'!L$5+France!L$12+Germany!L$9+Italy!L$9+Spain!L$4+Switzerland!L$8+Netherlands!L$4+Poland!L$7</f>
        <v>73897.3</v>
      </c>
      <c r="M14" s="37">
        <f>Austria!M$10+Belgium!M$6+'Czech Republic'!M$5+France!M$12+Germany!M$9+Italy!M$9+Spain!M$4+Switzerland!M$8+Netherlands!M$4+Poland!M$7</f>
        <v>274989</v>
      </c>
      <c r="N14" s="37">
        <f>Austria!N$10+Belgium!N$6+'Czech Republic'!N$5+France!N$12+Germany!N$9+Italy!N$9+Spain!N$4+Switzerland!N$8+Netherlands!N$4+Poland!N$7</f>
        <v>214963</v>
      </c>
      <c r="O14" s="37">
        <f>Austria!O$10+Belgium!O$6+'Czech Republic'!O$5+France!O$12+Germany!O$9+Italy!O$9+Spain!O$4+Switzerland!O$8+Netherlands!O$4+Poland!O$7</f>
        <v>216234.60031751369</v>
      </c>
      <c r="P14" s="37">
        <f>Austria!P$10+Belgium!P$6+'Czech Republic'!P$5+France!P$12+Germany!P$9+Italy!P$9+Spain!P$4+Switzerland!P$8+Netherlands!P$4+Poland!P$7</f>
        <v>213119.72210721474</v>
      </c>
      <c r="Q14" s="37">
        <f>Austria!Q$10+Belgium!Q$6+'Czech Republic'!Q$5+France!Q$12+Germany!Q$9+Italy!Q$9+Spain!Q$4+Switzerland!Q$8+Netherlands!Q$4+Poland!Q$7</f>
        <v>89741.091296785307</v>
      </c>
      <c r="R14" s="37">
        <f>Austria!R$10+Belgium!R$6+'Czech Republic'!R$5+France!R$12+Germany!R$9+Italy!R$9+Spain!R$4+Switzerland!R$8+Netherlands!R$4+Poland!R$7</f>
        <v>185267</v>
      </c>
      <c r="S14" s="37">
        <f>Austria!S$10+Belgium!S$6+'Czech Republic'!S$5+France!S$12+Germany!S$9+Italy!S$9+Spain!S$4+Switzerland!S$8+Netherlands!S$4+Poland!S$7</f>
        <v>144120.34153024343</v>
      </c>
      <c r="T14" s="37">
        <f>Austria!T$10+Belgium!T$6+'Czech Republic'!T$5+France!T$12+Germany!T$9+Italy!T$9+Spain!T$4+Switzerland!T$8+Netherlands!T$4+Poland!T$7</f>
        <v>153184.24831686096</v>
      </c>
      <c r="U14" s="58">
        <f>Austria!U$10+Belgium!U$6+'Czech Republic'!U$5+Germany!U$9+Italy!U$9+Spain!U$4+Switzerland!U$8+Netherlands!U$4+Poland!U$7</f>
        <v>172083</v>
      </c>
    </row>
    <row r="15" spans="1:22" x14ac:dyDescent="0.25">
      <c r="A15" s="39" t="s">
        <v>17</v>
      </c>
      <c r="B15" s="43">
        <f t="shared" si="0"/>
        <v>0.49424479394507509</v>
      </c>
      <c r="C15" s="66">
        <v>-19472.701944444445</v>
      </c>
      <c r="D15" s="37">
        <v>-9548.6344444444439</v>
      </c>
      <c r="E15" s="103">
        <f>Austria!E$11+France!E$14+Italy!E$10+Spain!E$5+Switzerland!E$9</f>
        <v>21519.366399999999</v>
      </c>
      <c r="F15" s="37">
        <f>Austria!F$11+France!F$14+Italy!F$10+Spain!F$5+Switzerland!F$9</f>
        <v>14401.5</v>
      </c>
      <c r="G15" s="37">
        <f>Austria!G$11+France!G$14+Italy!G$10+Spain!G$5+Switzerland!G$9</f>
        <v>8462.2928465522637</v>
      </c>
      <c r="H15" s="37">
        <f>Austria!H$11+France!H$14+Italy!H$10+Spain!H$5+Switzerland!H$9</f>
        <v>14321.473913043479</v>
      </c>
      <c r="I15" s="37">
        <f>Austria!I$11+France!I$14+Italy!I$10+Spain!I$5+Switzerland!I$9</f>
        <v>21633.049630895679</v>
      </c>
      <c r="J15" s="37">
        <f>Austria!J$11+France!J$14+Italy!J$10+Spain!J$5+Switzerland!J$9</f>
        <v>20745</v>
      </c>
      <c r="K15" s="37">
        <f>Austria!K$11+France!K$14+Italy!K$10+Spain!K$5+Switzerland!K$9</f>
        <v>15764.2</v>
      </c>
      <c r="L15" s="37">
        <f>Austria!L$11+France!L$14+Italy!L$10+Spain!L$5+Switzerland!L$9</f>
        <v>10834.2</v>
      </c>
      <c r="M15" s="37">
        <f>Austria!M$11+France!M$14+Italy!M$10+Spain!M$5+Switzerland!M$9</f>
        <v>8355</v>
      </c>
      <c r="N15" s="37">
        <f>Austria!N$11+France!N$14+Italy!N$10+Spain!N$5+Switzerland!N$9</f>
        <v>13061.2</v>
      </c>
      <c r="O15" s="37">
        <f>Austria!O$11+France!O$14+Italy!O$10+Spain!O$5+Switzerland!O$9</f>
        <v>4841.7404374165326</v>
      </c>
      <c r="P15" s="37">
        <f>Austria!P$11+France!P$14+Italy!P$10+Spain!P$5+Switzerland!P$9</f>
        <v>9628.1184558549412</v>
      </c>
      <c r="Q15" s="37">
        <f>Austria!Q$11+France!Q$14+Italy!Q$10+Spain!Q$5+Switzerland!Q$9</f>
        <v>1769.8320303588421</v>
      </c>
      <c r="R15" s="37">
        <f>Austria!R$11+France!R$14+Italy!R$10+Spain!R$5+Switzerland!R$9</f>
        <v>3370</v>
      </c>
      <c r="S15" s="37">
        <f>Austria!S$11+France!S$14+Italy!S$10+Spain!S$5+Switzerland!S$9</f>
        <v>1902.3222034943576</v>
      </c>
      <c r="T15" s="37">
        <f>Austria!T$11+France!T$14+Italy!T$10+Spain!T$5+Switzerland!T$9</f>
        <v>2749</v>
      </c>
      <c r="U15" s="58">
        <f>Austria!U$11+Italy!U$10+Spain!U$5+Switzerland!U$9</f>
        <v>413</v>
      </c>
    </row>
    <row r="16" spans="1:22" x14ac:dyDescent="0.25">
      <c r="A16" s="39" t="s">
        <v>15</v>
      </c>
      <c r="B16" s="43" t="str">
        <f t="shared" si="0"/>
        <v/>
      </c>
      <c r="C16" s="66">
        <v>0</v>
      </c>
      <c r="D16" s="37">
        <v>0</v>
      </c>
      <c r="E16" s="103">
        <f>Denmark!E$10+Germany!E$10</f>
        <v>0</v>
      </c>
      <c r="F16" s="37">
        <f>Denmark!F$10+Germany!F$10</f>
        <v>0</v>
      </c>
      <c r="G16" s="37">
        <f>Denmark!G$10+Germany!G$10</f>
        <v>0</v>
      </c>
      <c r="H16" s="37">
        <f>Denmark!H$10+Germany!H$10</f>
        <v>0</v>
      </c>
      <c r="I16" s="37">
        <f>Denmark!I$10+Germany!I$10</f>
        <v>0</v>
      </c>
      <c r="J16" s="37">
        <f>Denmark!J$10+Germany!J$10</f>
        <v>0</v>
      </c>
      <c r="K16" s="37">
        <f>Denmark!K$10+Germany!K$10</f>
        <v>0</v>
      </c>
      <c r="L16" s="37">
        <f>Denmark!L$10+Germany!L$10</f>
        <v>0</v>
      </c>
      <c r="M16" s="37">
        <f>Denmark!M$10+Germany!M$10</f>
        <v>0</v>
      </c>
      <c r="N16" s="37">
        <f>Denmark!N$10+Germany!N$10</f>
        <v>0</v>
      </c>
      <c r="O16" s="37">
        <f>Denmark!O$10+Germany!O$10</f>
        <v>0</v>
      </c>
      <c r="P16" s="37">
        <f>Denmark!P$10+Germany!P$10</f>
        <v>0</v>
      </c>
      <c r="Q16" s="37">
        <f>Denmark!Q$10+Germany!Q$10</f>
        <v>0</v>
      </c>
      <c r="R16" s="37">
        <f>Denmark!R$10+Germany!R$10</f>
        <v>0</v>
      </c>
      <c r="S16" s="37">
        <f>Denmark!S$10+Germany!S$10</f>
        <v>0</v>
      </c>
      <c r="T16" s="37">
        <f>Denmark!T$10+Germany!T$10</f>
        <v>0</v>
      </c>
      <c r="U16" s="58">
        <f>Denmark!U$10+Germany!U$10</f>
        <v>0</v>
      </c>
    </row>
    <row r="17" spans="1:107" x14ac:dyDescent="0.25">
      <c r="A17" s="39" t="s">
        <v>10</v>
      </c>
      <c r="B17" s="43">
        <f t="shared" si="0"/>
        <v>-0.67205309487178733</v>
      </c>
      <c r="C17" s="66">
        <v>-20585.327843418068</v>
      </c>
      <c r="D17" s="37">
        <v>-20967.48659527607</v>
      </c>
      <c r="E17" s="103">
        <f>Austria!E$12+'Czech Republic'!E$6+Denmark!E$11+France!E$16+Germany!E$11+Italy!E$11+Switzerland!E$10+Poland!E$8</f>
        <v>5327.3274853801167</v>
      </c>
      <c r="F17" s="37">
        <f>Austria!F$12+'Czech Republic'!F$6+Denmark!F$11+France!F$16+Germany!F$11+Italy!F$11+Switzerland!F$10+Poland!F$8</f>
        <v>16244.481658692184</v>
      </c>
      <c r="G17" s="37">
        <f>Austria!G$12+'Czech Republic'!G$6+Denmark!G$11+France!G$16+Germany!G$11+Italy!G$11+Switzerland!G$10+Poland!G$8</f>
        <v>28207.630654369786</v>
      </c>
      <c r="H17" s="37">
        <f>Austria!H$12+'Czech Republic'!H$6+Denmark!H$11+France!H$16+Germany!H$11+Italy!H$11+Switzerland!H$10+Poland!H$8</f>
        <v>51024.425120772947</v>
      </c>
      <c r="I17" s="37">
        <f>Austria!I$12+'Czech Republic'!I$6+Denmark!I$11+France!I$16+Germany!I$11+Italy!I$11+Switzerland!I$10+Poland!I$8</f>
        <v>55671.8</v>
      </c>
      <c r="J17" s="37">
        <f>Austria!J$12+'Czech Republic'!J$6+Denmark!J$11+France!J$16+Germany!J$11+Italy!J$11+Switzerland!J$10+Poland!J$8</f>
        <v>4544</v>
      </c>
      <c r="K17" s="37">
        <f>Austria!K$12+'Czech Republic'!K$6+Denmark!K$11+France!K$16+Germany!K$11+Italy!K$11+Switzerland!K$10+Poland!K$8</f>
        <v>60591</v>
      </c>
      <c r="L17" s="37">
        <f>Austria!L$12+'Czech Republic'!L$6+Denmark!L$11+France!L$16+Germany!L$11+Italy!L$11+Switzerland!L$10+Poland!L$8</f>
        <v>25406</v>
      </c>
      <c r="M17" s="37">
        <f>Austria!M$12+'Czech Republic'!M$6+Denmark!M$11+France!M$16+Germany!M$11+Italy!M$11+Switzerland!M$10+Poland!M$8</f>
        <v>26972</v>
      </c>
      <c r="N17" s="37">
        <f>Austria!N$12+'Czech Republic'!N$6+Denmark!N$11+France!N$16+Germany!N$11+Italy!N$11+Switzerland!N$10+Poland!N$8</f>
        <v>38184</v>
      </c>
      <c r="O17" s="37">
        <f>Austria!O$12+'Czech Republic'!O$6+Denmark!O$11+France!O$16+Germany!O$11+Italy!O$11+Switzerland!O$10+Poland!O$8</f>
        <v>12585</v>
      </c>
      <c r="P17" s="37">
        <f>Austria!P$12+'Czech Republic'!P$6+Denmark!P$11+France!P$16+Germany!P$11+Italy!P$11+Switzerland!P$10+Poland!P$8</f>
        <v>32223</v>
      </c>
      <c r="Q17" s="37">
        <f>Austria!Q$12+'Czech Republic'!Q$6+Denmark!Q$11+France!Q$16+Germany!Q$11+Italy!Q$11+Switzerland!Q$10+Poland!Q$8</f>
        <v>13575</v>
      </c>
      <c r="R17" s="37">
        <f>Austria!R$12+'Czech Republic'!R$6+Denmark!R$11+France!R$16+Germany!R$11+Italy!R$11+Switzerland!R$10+Poland!R$8</f>
        <v>14361</v>
      </c>
      <c r="S17" s="37">
        <f>Austria!S$12+'Czech Republic'!S$6+Denmark!S$11+France!S$16+Germany!S$11+Italy!S$11+Switzerland!S$10+Poland!S$8</f>
        <v>5433</v>
      </c>
      <c r="T17" s="37">
        <f>Austria!T$12+'Czech Republic'!T$6+Denmark!T$11+France!T$16+Germany!T$11+Italy!T$11+Switzerland!T$10+Poland!T$8</f>
        <v>19629</v>
      </c>
      <c r="U17" s="58">
        <f>Austria!U$12+'Czech Republic'!U$6+Denmark!U$11+Germany!U$11+Italy!U$11+Switzerland!U$10+Poland!U$8</f>
        <v>12256</v>
      </c>
      <c r="V17" s="1"/>
    </row>
    <row r="18" spans="1:107" x14ac:dyDescent="0.25">
      <c r="A18" s="39" t="s">
        <v>26</v>
      </c>
      <c r="B18" s="43">
        <f t="shared" si="0"/>
        <v>-3.2677058386005003E-3</v>
      </c>
      <c r="C18" s="66">
        <v>-13243.72239734044</v>
      </c>
      <c r="D18" s="37">
        <v>-13102.49958180706</v>
      </c>
      <c r="E18" s="103">
        <f>Austria!E$13+Belgium!E$7+'Czech Republic'!E$7+Denmark!E$13+France!E$18+Germany!E$13+Italy!E$12+Switzerland!E$11+Netherlands!E$5+UK!E$7+Poland!E$9</f>
        <v>27219.762221253659</v>
      </c>
      <c r="F18" s="37">
        <f>Austria!F$13+Belgium!F$7+'Czech Republic'!F$7+Denmark!F$13+France!F$18+Germany!F$13+Italy!F$12+Switzerland!F$11+Netherlands!F$5+UK!F$7+Poland!F$9</f>
        <v>27309</v>
      </c>
      <c r="G18" s="37">
        <f>Austria!G$13+Belgium!G$7+'Czech Republic'!G$7+Denmark!G$13+France!G$18+Germany!G$13+Italy!G$12+Switzerland!G$11+Netherlands!G$5+UK!G$7+Poland!G$9</f>
        <v>28465.901128678084</v>
      </c>
      <c r="H18" s="37">
        <f>Austria!H$13+Belgium!H$7+'Czech Republic'!H$7+Denmark!H$13+France!H$18+Germany!H$13+Italy!H$12+Switzerland!H$11+Netherlands!H$5+UK!H$7+Poland!H$9</f>
        <v>64676.682476943344</v>
      </c>
      <c r="I18" s="37">
        <f>Austria!I$13+Belgium!I$7+'Czech Republic'!I$7+Denmark!I$13+France!I$18+Germany!I$13+Italy!I$12+Switzerland!I$11+Netherlands!I$5+UK!I$7+Poland!I$9</f>
        <v>31028.05</v>
      </c>
      <c r="J18" s="37">
        <f>Austria!J$13+Belgium!J$7+'Czech Republic'!J$7+Denmark!J$13+France!J$18+Germany!J$13+Italy!J$12+Switzerland!J$11+Netherlands!J$5+UK!J$7+Poland!J$9</f>
        <v>29046</v>
      </c>
      <c r="K18" s="37">
        <f>Austria!K$13+Belgium!K$7+'Czech Republic'!K$7+Denmark!K$13+France!K$18+Germany!K$13+Italy!K$12+Switzerland!K$11+Netherlands!K$5+UK!K$7+Poland!K$9</f>
        <v>45549</v>
      </c>
      <c r="L18" s="37">
        <f>Austria!L$13+Belgium!L$7+'Czech Republic'!L$7+Denmark!L$14+France!L$18+Germany!L$13+Italy!L$12+Switzerland!L$11+Netherlands!L$5+UK!L$7+Poland!L$9</f>
        <v>10816</v>
      </c>
      <c r="M18" s="37">
        <f>Austria!M$13+Belgium!M$7+'Czech Republic'!M$7+Denmark!M$14+France!M$18+Germany!M$13+Italy!M$12+Switzerland!M$11+Netherlands!M$5+UK!M$7+Poland!M$9</f>
        <v>44453</v>
      </c>
      <c r="N18" s="37">
        <f>Austria!N$13+Belgium!N$7+'Czech Republic'!N$7+Denmark!N$14+France!N$18+Germany!N$13+Italy!N$12+Switzerland!N$11+Netherlands!N$5+UK!N$7+Poland!N$9</f>
        <v>50459.199999999997</v>
      </c>
      <c r="O18" s="37">
        <f>Austria!O$13+Belgium!O$7+'Czech Republic'!O$7+Denmark!O$14+France!O$18+Germany!O$13+Italy!O$12+Switzerland!O$11+Netherlands!O$5+UK!O$7+Poland!O$9</f>
        <v>59296</v>
      </c>
      <c r="P18" s="37">
        <f>Austria!P$13+Belgium!P$7+'Czech Republic'!P$7+Denmark!P$14+France!P$18+Germany!P$13+Italy!P$12+Switzerland!P$11+Netherlands!P$5+UK!P$7+Poland!P$9</f>
        <v>49566</v>
      </c>
      <c r="Q18" s="37">
        <f>Austria!Q$13+Belgium!Q$7+'Czech Republic'!Q$7+Denmark!Q$14+France!Q$18+Germany!Q$13+Italy!Q$12+Switzerland!Q$11+Netherlands!Q$5+UK!Q$7+Poland!Q$9</f>
        <v>30215</v>
      </c>
      <c r="R18" s="37">
        <f>Austria!R$13+Belgium!R$7+'Czech Republic'!R$7+Denmark!R$14+France!R$18+Germany!R$13+Italy!R$12+Switzerland!R$11+Netherlands!R$5+UK!R$7+Poland!R$9</f>
        <v>43506</v>
      </c>
      <c r="S18" s="37">
        <f>Austria!S$13+Belgium!S$7+'Czech Republic'!S$7+Denmark!S$14+France!S$18+Germany!S$13+Italy!S$12+Switzerland!S$11+Netherlands!S$5+UK!S$7+Poland!S$9</f>
        <v>27564</v>
      </c>
      <c r="T18" s="37">
        <f>Austria!T$13+Belgium!T$7+'Czech Republic'!T$7+Denmark!T$13+France!T$18+Germany!T$13+Italy!T$12+Switzerland!T$11+Netherlands!T$5+UK!T$7+Poland!T$9</f>
        <v>55767</v>
      </c>
      <c r="U18" s="58">
        <f>Austria!U$13+Belgium!U$7+'Czech Republic'!U$7+Denmark!U$13+Germany!U$13+Italy!U$12+Switzerland!U$11+Netherlands!U$5+UK!U$7+Poland!U$9</f>
        <v>76578</v>
      </c>
      <c r="V18" s="1"/>
    </row>
    <row r="19" spans="1:107" x14ac:dyDescent="0.25">
      <c r="A19" s="39" t="s">
        <v>25</v>
      </c>
      <c r="B19" s="43">
        <f t="shared" si="0"/>
        <v>0.13533493083616499</v>
      </c>
      <c r="C19" s="66">
        <v>-2362.2916882663121</v>
      </c>
      <c r="D19" s="37">
        <v>-3566.9998357989625</v>
      </c>
      <c r="E19" s="103">
        <f>Austria!E$14+Belgium!E$8+Denmark!E$14+Germany!E$14+UK!E$8</f>
        <v>4485.7083117336879</v>
      </c>
      <c r="F19" s="37">
        <f>Austria!F$14+Belgium!F$8+Denmark!F$14+Germany!F$14+UK!F$8</f>
        <v>3951</v>
      </c>
      <c r="G19" s="37">
        <f>Austria!G$14+Belgium!G$8+Denmark!G$14+Germany!G$14+UK!G$8</f>
        <v>5490</v>
      </c>
      <c r="H19" s="37">
        <f>Austria!H$14+Belgium!H$8+Denmark!H$14+Germany!H$14+UK!H$8</f>
        <v>15647</v>
      </c>
      <c r="I19" s="37">
        <f>Austria!I$14+Belgium!I$8+Denmark!I$14+Germany!I$14+UK!I$8</f>
        <v>8240</v>
      </c>
      <c r="J19" s="37">
        <f>Austria!J$14+Belgium!J$8+Denmark!J$14+Germany!J$14+UK!J$8</f>
        <v>16044</v>
      </c>
      <c r="K19" s="37">
        <f>Austria!K$14+Belgium!K$8+Denmark!K$14+Germany!K$14+UK!K$8</f>
        <v>25461</v>
      </c>
      <c r="L19" s="37">
        <f>Austria!L$14+Belgium!L$8+Denmark!L$15+Germany!L$14+UK!L$8</f>
        <v>545</v>
      </c>
      <c r="M19" s="37">
        <f>Austria!M$14+Belgium!M$8+Denmark!M$15+Germany!M$14+UK!M$8</f>
        <v>13775</v>
      </c>
      <c r="N19" s="37">
        <f>Austria!N$14+Belgium!N$8+Denmark!N$15+Germany!N$14+UK!N$8</f>
        <v>17617</v>
      </c>
      <c r="O19" s="37">
        <f>Austria!O$14+Belgium!O$8+Denmark!O$15+Germany!O$14+UK!O$8</f>
        <v>24431</v>
      </c>
      <c r="P19" s="37">
        <f>Austria!P$14+Belgium!P$8+Denmark!P$15+Germany!P$14+UK!P$8</f>
        <v>17513</v>
      </c>
      <c r="Q19" s="37">
        <f>Austria!Q$14+Belgium!Q$8+Denmark!Q$15+Germany!Q$14+UK!Q$8</f>
        <v>11156</v>
      </c>
      <c r="R19" s="37">
        <f>Austria!R$14+Belgium!R$8+Denmark!R$15+Germany!R$14+UK!R$8</f>
        <v>9519</v>
      </c>
      <c r="S19" s="37">
        <f>Austria!S$14+Belgium!S$8+Denmark!S$15+Germany!S$14+UK!S$8</f>
        <v>11453</v>
      </c>
      <c r="T19" s="37">
        <f>Austria!T$14+Belgium!T$8+Denmark!T$14+Germany!T$14+UK!T$8</f>
        <v>14305</v>
      </c>
      <c r="U19" s="58">
        <f>Austria!U$14+Belgium!U$8+Denmark!U$14+Germany!U$14+UK!U$8</f>
        <v>12363</v>
      </c>
    </row>
    <row r="20" spans="1:107" x14ac:dyDescent="0.25">
      <c r="A20" s="39" t="s">
        <v>50</v>
      </c>
      <c r="B20" s="120" t="str">
        <f t="shared" si="0"/>
        <v/>
      </c>
      <c r="C20" s="121">
        <v>0</v>
      </c>
      <c r="D20" s="37">
        <v>0</v>
      </c>
      <c r="E20" s="103">
        <f>Italy!E$13</f>
        <v>0</v>
      </c>
      <c r="F20" s="37">
        <f>Italy!F$13</f>
        <v>0</v>
      </c>
      <c r="G20" s="37">
        <f>Italy!G$13</f>
        <v>0</v>
      </c>
      <c r="H20" s="37">
        <f>Italy!H$13</f>
        <v>0</v>
      </c>
      <c r="I20" s="37">
        <f>Italy!I$13</f>
        <v>0</v>
      </c>
      <c r="J20" s="37">
        <f>Italy!J$13</f>
        <v>0</v>
      </c>
      <c r="K20" s="37">
        <f>Italy!K$13</f>
        <v>0</v>
      </c>
      <c r="L20" s="37">
        <f>Italy!L$13</f>
        <v>0</v>
      </c>
      <c r="M20" s="37">
        <f>Italy!M$13</f>
        <v>0</v>
      </c>
      <c r="N20" s="37">
        <f>Italy!N$13</f>
        <v>0</v>
      </c>
      <c r="O20" s="37">
        <f>Italy!O$13</f>
        <v>0</v>
      </c>
      <c r="P20" s="37">
        <f>Italy!P$13</f>
        <v>0</v>
      </c>
      <c r="Q20" s="37">
        <f>Italy!Q$13</f>
        <v>0</v>
      </c>
      <c r="R20" s="37">
        <f>Italy!R$13</f>
        <v>0</v>
      </c>
      <c r="S20" s="37">
        <f>Italy!S$13</f>
        <v>0</v>
      </c>
      <c r="T20" s="37">
        <f>Italy!T$13+Poland!T$10</f>
        <v>0</v>
      </c>
      <c r="U20" s="58">
        <f>Italy!U$13+Poland!U$10</f>
        <v>0</v>
      </c>
    </row>
    <row r="21" spans="1:107" x14ac:dyDescent="0.25">
      <c r="A21" s="39" t="s">
        <v>33</v>
      </c>
      <c r="B21" s="43" t="str">
        <f t="shared" si="0"/>
        <v/>
      </c>
      <c r="C21" s="66">
        <v>0</v>
      </c>
      <c r="D21" s="37">
        <v>0</v>
      </c>
      <c r="E21" s="103">
        <f>Poland!E$11</f>
        <v>0</v>
      </c>
      <c r="F21" s="37">
        <f>Poland!F$11</f>
        <v>0</v>
      </c>
      <c r="G21" s="37">
        <f>Poland!G$11</f>
        <v>0</v>
      </c>
      <c r="H21" s="37">
        <f>Poland!H$11</f>
        <v>0</v>
      </c>
      <c r="I21" s="37">
        <f>Poland!I$11</f>
        <v>0</v>
      </c>
      <c r="J21" s="37">
        <f>Poland!J$11</f>
        <v>0</v>
      </c>
      <c r="K21" s="37">
        <f>Poland!K$11</f>
        <v>0</v>
      </c>
      <c r="L21" s="37">
        <f>Poland!L$11</f>
        <v>0</v>
      </c>
      <c r="M21" s="37">
        <f>Poland!M$11</f>
        <v>0</v>
      </c>
      <c r="N21" s="37">
        <f>Poland!N$11</f>
        <v>0</v>
      </c>
      <c r="O21" s="37">
        <f>Poland!O$11</f>
        <v>0</v>
      </c>
      <c r="P21" s="37">
        <f>Poland!P$11</f>
        <v>0</v>
      </c>
      <c r="Q21" s="37">
        <f>Poland!Q$11</f>
        <v>0</v>
      </c>
      <c r="R21" s="37">
        <f>Poland!R$11</f>
        <v>0</v>
      </c>
      <c r="S21" s="37">
        <f>Poland!S$11</f>
        <v>0</v>
      </c>
      <c r="T21" s="37">
        <f>Poland!T$11</f>
        <v>1000</v>
      </c>
      <c r="U21" s="58">
        <f>Poland!U$11</f>
        <v>0</v>
      </c>
    </row>
    <row r="22" spans="1:107" x14ac:dyDescent="0.25">
      <c r="A22" s="39" t="s">
        <v>18</v>
      </c>
      <c r="B22" s="43">
        <f t="shared" si="0"/>
        <v>-0.93588417786970013</v>
      </c>
      <c r="C22" s="66">
        <v>-1495.7450000000001</v>
      </c>
      <c r="D22" s="37">
        <v>-942.09999999999991</v>
      </c>
      <c r="E22" s="103">
        <f>Italy!E$14</f>
        <v>62</v>
      </c>
      <c r="F22" s="37">
        <f>Italy!F$14</f>
        <v>967</v>
      </c>
      <c r="G22" s="37">
        <f>Italy!G$14</f>
        <v>395</v>
      </c>
      <c r="H22" s="37">
        <f>Italy!H$14</f>
        <v>1349.5</v>
      </c>
      <c r="I22" s="37">
        <f>Italy!I$14</f>
        <v>2350.3000000000002</v>
      </c>
      <c r="J22" s="37">
        <f>Italy!J$14</f>
        <v>49</v>
      </c>
      <c r="K22" s="37">
        <f>Italy!K$14</f>
        <v>2961.6</v>
      </c>
      <c r="L22" s="37">
        <f>Italy!L$14</f>
        <v>4</v>
      </c>
      <c r="M22" s="37">
        <f>Italy!M$14</f>
        <v>2093</v>
      </c>
      <c r="N22" s="37">
        <f>Italy!N$14</f>
        <v>2420</v>
      </c>
      <c r="O22" s="37">
        <f>Italy!O$14</f>
        <v>2071</v>
      </c>
      <c r="P22" s="37">
        <f>Italy!P$14</f>
        <v>2234</v>
      </c>
      <c r="Q22" s="37">
        <f>Italy!Q$14</f>
        <v>273</v>
      </c>
      <c r="R22" s="37">
        <f>Italy!R$14</f>
        <v>0</v>
      </c>
      <c r="S22" s="37">
        <f>Italy!S$14</f>
        <v>821</v>
      </c>
      <c r="T22" s="37">
        <f>Italy!T$14</f>
        <v>93</v>
      </c>
      <c r="U22" s="58">
        <f>Italy!U$14</f>
        <v>1521</v>
      </c>
    </row>
    <row r="23" spans="1:107" x14ac:dyDescent="0.25">
      <c r="A23" s="39" t="s">
        <v>13</v>
      </c>
      <c r="B23" s="43">
        <f t="shared" si="0"/>
        <v>0.1207849360755487</v>
      </c>
      <c r="C23" s="66">
        <v>-7780.3875906432759</v>
      </c>
      <c r="D23" s="37">
        <v>-10768.736432748537</v>
      </c>
      <c r="E23" s="103">
        <f>Austria!E$16+Denmark!E$16+Germany!E$15+Switzerland!E$14+Poland!E$12+Italy!E$15</f>
        <v>6698.0526315789475</v>
      </c>
      <c r="F23" s="37">
        <f>Austria!F$16+Denmark!F$16+Germany!F$15+Switzerland!F$14+Poland!F$12+Italy!F$15</f>
        <v>5976.2157894736838</v>
      </c>
      <c r="G23" s="37">
        <f>Austria!G$16+Denmark!G$16+Germany!G$15+Switzerland!G$14+Poland!G$12+Italy!G$15</f>
        <v>8022.105401844532</v>
      </c>
      <c r="H23" s="37">
        <f>Austria!H$16+Denmark!H$16+Germany!H$15+Switzerland!H$14+Poland!H$12+Italy!H$15</f>
        <v>9809.6104523495833</v>
      </c>
      <c r="I23" s="37">
        <f>Austria!I$16+Denmark!I$16+Germany!I$15+Switzerland!I$14+Poland!I$12+Italy!I$15</f>
        <v>8229.9</v>
      </c>
      <c r="J23" s="37">
        <f>Austria!J$16+Denmark!J$16+Germany!J$15+Switzerland!J$14+Poland!J$12+Italy!J$15</f>
        <v>741</v>
      </c>
      <c r="K23" s="37">
        <f>Austria!K$16+Denmark!K$16+Germany!K$15+Switzerland!K$14+Poland!K$12+Italy!K$15</f>
        <v>6805</v>
      </c>
      <c r="L23" s="37">
        <f>Austria!L$16+Denmark!L$16+Germany!L$15+Switzerland!L$14+Poland!L$12</f>
        <v>31</v>
      </c>
      <c r="M23" s="37">
        <f>Austria!M$16+Denmark!M$16+Germany!M$15+Switzerland!M$14+Poland!M$12</f>
        <v>1511</v>
      </c>
      <c r="N23" s="37">
        <f>Austria!N$16+Denmark!N$16+Germany!N$15+Switzerland!N$14+Poland!N$12</f>
        <v>1147</v>
      </c>
      <c r="O23" s="37">
        <f>Austria!O$16+Denmark!O$16+Germany!O$15+Switzerland!O$14+Poland!O$12</f>
        <v>1056</v>
      </c>
      <c r="P23" s="37">
        <f>Austria!P$16+Denmark!P$16+Germany!P$15+Switzerland!P$14+Poland!P$12</f>
        <v>497</v>
      </c>
      <c r="Q23" s="37">
        <f>Austria!Q$16+Denmark!Q$16+Germany!Q$15+Switzerland!Q$14+Poland!Q$12</f>
        <v>83</v>
      </c>
      <c r="R23" s="37">
        <f>Austria!R$16+Denmark!R$16+Germany!R$15+Switzerland!R$14+Poland!R$12</f>
        <v>462</v>
      </c>
      <c r="S23" s="37">
        <f>Austria!S$16+Denmark!S$16+Germany!S$15+Switzerland!S$14+Poland!S$12</f>
        <v>284</v>
      </c>
      <c r="T23" s="37">
        <f>Austria!T$16+Denmark!T$16+Germany!T$15+Switzerland!T$14</f>
        <v>291</v>
      </c>
      <c r="U23" s="58">
        <f>Austria!U$16+Denmark!U$16+Germany!U$15+Switzerland!U$14</f>
        <v>119</v>
      </c>
    </row>
    <row r="24" spans="1:107" x14ac:dyDescent="0.25">
      <c r="A24" s="39" t="s">
        <v>19</v>
      </c>
      <c r="B24" s="43">
        <f t="shared" si="0"/>
        <v>-0.49205594516422996</v>
      </c>
      <c r="C24" s="66">
        <v>-5966.6060000000052</v>
      </c>
      <c r="D24" s="37">
        <v>-5644.2999999999993</v>
      </c>
      <c r="E24" s="103">
        <f>'Czech Republic'!E$8+France!E$19+Italy!E$16+Spain!E$6+Poland!E$13</f>
        <v>1282</v>
      </c>
      <c r="F24" s="37">
        <f>'Czech Republic'!F$8+France!F$19+Italy!F$16+Spain!F$6+Poland!F$13</f>
        <v>2523.9</v>
      </c>
      <c r="G24" s="37">
        <f>'Czech Republic'!G$8+France!G$19+Italy!G$16+Spain!G$6+Poland!G$13</f>
        <v>2422.7914678512275</v>
      </c>
      <c r="H24" s="37">
        <f>'Czech Republic'!H$8+France!H$19+Italy!H$16+Spain!H$6+Poland!H$13</f>
        <v>6727.4</v>
      </c>
      <c r="I24" s="37">
        <f>'Czech Republic'!I$8+France!I$19+Italy!I$16+Spain!I$6+Poland!I$13</f>
        <v>7177.8069173581944</v>
      </c>
      <c r="J24" s="37">
        <f>'Czech Republic'!J$8+France!J$19+Italy!J$16+Spain!J$6+Poland!J$13</f>
        <v>5631.1401734125138</v>
      </c>
      <c r="K24" s="37">
        <f>'Czech Republic'!K$8+France!K$19+Italy!K$16+Spain!K$6+Poland!K$13</f>
        <v>8730.1</v>
      </c>
      <c r="L24" s="37">
        <f>'Czech Republic'!L$8+France!L$19+Italy!L$16+Spain!L$6+Poland!L$13</f>
        <v>521.79999999999995</v>
      </c>
      <c r="M24" s="37">
        <f>'Czech Republic'!M$8+France!M$19+Italy!M$16+Spain!M$6+Poland!M$13</f>
        <v>14168</v>
      </c>
      <c r="N24" s="37">
        <f>'Czech Republic'!N$8+France!N$19+Italy!N$16+Spain!N$6+Poland!N$13</f>
        <v>5645.2</v>
      </c>
      <c r="O24" s="37">
        <f>'Czech Republic'!O$8+France!O$19+Italy!O$16+Spain!O$6+Poland!O$13</f>
        <v>3889.9684995660969</v>
      </c>
      <c r="P24" s="37">
        <f>'Czech Republic'!P$8+France!P$19+Italy!P$16+Spain!P$6+Poland!P$13</f>
        <v>6180.4043523984928</v>
      </c>
      <c r="Q24" s="37">
        <f>'Czech Republic'!Q$8+France!Q$19+Italy!Q$16+Spain!Q$6+Poland!Q$12+Poland!Q$13</f>
        <v>262.52904330050211</v>
      </c>
      <c r="R24" s="37">
        <f>'Czech Republic'!R$8+France!R$19+Italy!R$16+Spain!R$6+Poland!R$12+Poland!R$13</f>
        <v>400</v>
      </c>
      <c r="S24" s="37">
        <f>'Czech Republic'!S$8+France!S$19+Italy!S$16+Spain!S$6+Poland!S$12+Poland!S$13</f>
        <v>465.3222034943575</v>
      </c>
      <c r="T24" s="37">
        <f>'Czech Republic'!T$8+France!T$19+Italy!T$16+Spain!T$6+Poland!T$12+Poland!T$13</f>
        <v>2214</v>
      </c>
      <c r="U24" s="58">
        <f>'Czech Republic'!U$8+Italy!U$16+Spain!U$6+Poland!U$12+Poland!U$13</f>
        <v>2955</v>
      </c>
    </row>
    <row r="25" spans="1:107" x14ac:dyDescent="0.25">
      <c r="A25" s="39" t="s">
        <v>134</v>
      </c>
      <c r="B25" s="43">
        <f t="shared" si="0"/>
        <v>-0.29554256374272164</v>
      </c>
      <c r="C25" s="66">
        <v>-25690.111111111109</v>
      </c>
      <c r="D25" s="37">
        <v>-29187.929824561408</v>
      </c>
      <c r="E25" s="103">
        <f>Germany!E$16+Austria!E$17+Poland!E$14</f>
        <v>21981</v>
      </c>
      <c r="F25" s="37">
        <f>Germany!F$16+Austria!F$17+Poland!F$14</f>
        <v>31202.736842105263</v>
      </c>
      <c r="G25" s="37">
        <f>Germany!G$16+Austria!G$17+Poland!G$14</f>
        <v>43544.322353974523</v>
      </c>
      <c r="H25" s="37">
        <f>Germany!H$16+Austria!H$17+Poland!H$14</f>
        <v>41221.82608695652</v>
      </c>
      <c r="I25" s="37">
        <f>Germany!I$16+Austria!I$17+Poland!I$14</f>
        <v>32907.75</v>
      </c>
      <c r="J25" s="37">
        <f>Germany!J$16+Austria!J$17+Poland!J$14</f>
        <v>14777</v>
      </c>
      <c r="K25" s="37">
        <f>Germany!K$16+Austria!K$17+Poland!K$14</f>
        <v>30141</v>
      </c>
      <c r="L25" s="37">
        <f>Germany!L$16+Austria!L$17</f>
        <v>7991</v>
      </c>
      <c r="M25" s="37">
        <f>Germany!M$16</f>
        <v>18977</v>
      </c>
      <c r="N25" s="37">
        <f>Germany!N$16</f>
        <v>10356</v>
      </c>
      <c r="O25" s="37">
        <f>Germany!O$16</f>
        <v>6046</v>
      </c>
      <c r="P25" s="37">
        <f>Germany!P$16</f>
        <v>5395</v>
      </c>
      <c r="Q25" s="37">
        <f>Germany!Q$16</f>
        <v>3920</v>
      </c>
      <c r="R25" s="37">
        <f>Germany!R$16</f>
        <v>2779</v>
      </c>
      <c r="S25" s="37">
        <f>Germany!S$16</f>
        <v>1346</v>
      </c>
      <c r="T25" s="37">
        <f>Germany!T$16</f>
        <v>3394</v>
      </c>
      <c r="U25" s="58">
        <f>Germany!U$16</f>
        <v>1559</v>
      </c>
    </row>
    <row r="26" spans="1:107" s="4" customFormat="1" ht="13.8" thickBot="1" x14ac:dyDescent="0.3">
      <c r="A26" s="39" t="s">
        <v>123</v>
      </c>
      <c r="B26" s="43">
        <f t="shared" si="0"/>
        <v>5.723297619047619</v>
      </c>
      <c r="C26" s="66">
        <v>-4150.6187999999993</v>
      </c>
      <c r="D26" s="37">
        <v>-343</v>
      </c>
      <c r="E26" s="103">
        <f>France!E$21+France!E$20+Italy!E$17+Switzerland!E$12</f>
        <v>3953.299</v>
      </c>
      <c r="F26" s="37">
        <f>France!F$21+France!F$20+Italy!F$17+Switzerland!F$12</f>
        <v>588</v>
      </c>
      <c r="G26" s="37">
        <f>France!G$21+France!G$20+Italy!G$17+Switzerland!G$12</f>
        <v>1982</v>
      </c>
      <c r="H26" s="37">
        <f>France!H$21+France!H$20+Italy!H$17+Switzerland!H$12</f>
        <v>1314</v>
      </c>
      <c r="I26" s="37">
        <f>France!I$21+France!I$20+Italy!I$17+Switzerland!I$12</f>
        <v>4424</v>
      </c>
      <c r="J26" s="37">
        <f>France!J$21+France!J$20+Italy!J$17+Switzerland!J$12</f>
        <v>1415</v>
      </c>
      <c r="K26" s="37">
        <f>France!K$21+France!K$20+Italy!K$17+Switzerland!K$12</f>
        <v>4129</v>
      </c>
      <c r="L26" s="37">
        <f>France!L$21+France!L$20+Italy!L$17+Switzerland!L$12</f>
        <v>367</v>
      </c>
      <c r="M26" s="37">
        <f>France!M$21+France!M$20+Italy!M$17+Switzerland!M$12</f>
        <v>2900</v>
      </c>
      <c r="N26" s="37">
        <f>France!N$21+France!N$20+Italy!N$17+Switzerland!N$12</f>
        <v>1835</v>
      </c>
      <c r="O26" s="37">
        <f>France!O$21+France!O$20+Italy!O$17+Switzerland!O$12</f>
        <v>757</v>
      </c>
      <c r="P26" s="37">
        <f>France!P$21+France!P$20+Italy!P$17+Switzerland!P$12</f>
        <v>4429</v>
      </c>
      <c r="Q26" s="37">
        <f>France!Q$21+France!Q$20+Italy!Q$17+Switzerland!Q$12</f>
        <v>486</v>
      </c>
      <c r="R26" s="37">
        <f>France!R$21+France!R$20+Italy!R$17+Switzerland!R$12</f>
        <v>1635</v>
      </c>
      <c r="S26" s="37">
        <f>France!S$21+France!S$20+Italy!S$17+Switzerland!S$12</f>
        <v>914</v>
      </c>
      <c r="T26" s="37">
        <f>France!T$21+France!T$20+Italy!T$17+Switzerland!T$12</f>
        <v>1873</v>
      </c>
      <c r="U26" s="58">
        <f>Italy!U$17+Switzerland!U$12</f>
        <v>0</v>
      </c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</row>
    <row r="27" spans="1:107" x14ac:dyDescent="0.25">
      <c r="A27" s="39" t="s">
        <v>90</v>
      </c>
      <c r="B27" s="43">
        <f t="shared" si="0"/>
        <v>-1</v>
      </c>
      <c r="C27" s="66">
        <v>-5000</v>
      </c>
      <c r="D27" s="37">
        <v>-7008</v>
      </c>
      <c r="E27" s="103">
        <f>'Czech Republic'!E$9+Germany!E$17+Poland!E$15</f>
        <v>0</v>
      </c>
      <c r="F27" s="37">
        <f>'Czech Republic'!F$9+Germany!F$17+Poland!F$15</f>
        <v>1000</v>
      </c>
      <c r="G27" s="37">
        <f>'Czech Republic'!G$9+Germany!G$17+Poland!G$15</f>
        <v>4000</v>
      </c>
      <c r="H27" s="37">
        <f>'Czech Republic'!H$9+Germany!H$17+Poland!H$15</f>
        <v>5000</v>
      </c>
      <c r="I27" s="37">
        <f>'Czech Republic'!I$9+Germany!I$17+Poland!I$15</f>
        <v>8000</v>
      </c>
      <c r="J27" s="37">
        <f>'Czech Republic'!J$9+Germany!J$17+Poland!J$15</f>
        <v>0</v>
      </c>
      <c r="K27" s="37">
        <f>'Czech Republic'!K$9+Germany!K$17+Poland!K$15</f>
        <v>20136</v>
      </c>
      <c r="L27" s="37">
        <f>'Czech Republic'!L$9+Germany!L$17+Poland!L$15</f>
        <v>3000</v>
      </c>
      <c r="M27" s="37">
        <f>'Czech Republic'!M$9+Germany!M$17+Poland!M$15</f>
        <v>3000</v>
      </c>
      <c r="N27" s="37">
        <f>'Czech Republic'!N$9+Germany!N$17+Poland!N$15</f>
        <v>3000</v>
      </c>
      <c r="O27" s="37">
        <f>'Czech Republic'!O$9+Germany!O$17+Poland!O$15</f>
        <v>1000</v>
      </c>
      <c r="P27" s="37">
        <f>'Czech Republic'!P$9+Germany!P$17+Poland!P$15</f>
        <v>1000</v>
      </c>
      <c r="Q27" s="37">
        <f>'Czech Republic'!Q$9+Germany!Q$17+Poland!Q$15</f>
        <v>1000</v>
      </c>
      <c r="R27" s="37">
        <f>'Czech Republic'!R$9+Germany!R$17+Poland!R$15</f>
        <v>0</v>
      </c>
      <c r="S27" s="37">
        <f>'Czech Republic'!S$9+Germany!S$17+Poland!S$15</f>
        <v>0</v>
      </c>
      <c r="T27" s="37">
        <f>'Czech Republic'!T$9+Germany!T$17+Poland!T$15</f>
        <v>2000</v>
      </c>
      <c r="U27" s="58">
        <f>'Czech Republic'!U$9+Germany!U$17+Poland!U$15</f>
        <v>0</v>
      </c>
    </row>
    <row r="28" spans="1:107" x14ac:dyDescent="0.25">
      <c r="A28" s="39" t="s">
        <v>21</v>
      </c>
      <c r="B28" s="43" t="str">
        <f t="shared" si="0"/>
        <v/>
      </c>
      <c r="C28" s="66">
        <v>0</v>
      </c>
      <c r="D28" s="37">
        <v>0</v>
      </c>
      <c r="E28" s="103">
        <f>Italy!E$18</f>
        <v>0</v>
      </c>
      <c r="F28" s="37">
        <f>Italy!F$18</f>
        <v>0</v>
      </c>
      <c r="G28" s="37">
        <f>Italy!G$18</f>
        <v>0</v>
      </c>
      <c r="H28" s="37">
        <f>Italy!H$18</f>
        <v>0</v>
      </c>
      <c r="I28" s="37">
        <f>Italy!I$18</f>
        <v>0</v>
      </c>
      <c r="J28" s="37">
        <f>Italy!J$18</f>
        <v>0</v>
      </c>
      <c r="K28" s="37">
        <f>Italy!K$18</f>
        <v>300</v>
      </c>
      <c r="L28" s="37">
        <f>Italy!L$18</f>
        <v>0</v>
      </c>
      <c r="M28" s="37">
        <f>Italy!M$18</f>
        <v>547</v>
      </c>
      <c r="N28" s="37">
        <f>Italy!N$18</f>
        <v>1826.4</v>
      </c>
      <c r="O28" s="37">
        <f>Italy!O$18</f>
        <v>575</v>
      </c>
      <c r="P28" s="37">
        <f>Italy!P$18</f>
        <v>564</v>
      </c>
      <c r="Q28" s="37">
        <f>Italy!Q$18</f>
        <v>0</v>
      </c>
      <c r="R28" s="37">
        <f>Italy!R$18</f>
        <v>0</v>
      </c>
      <c r="S28" s="37">
        <f>Italy!S$18</f>
        <v>0</v>
      </c>
      <c r="T28" s="37">
        <f>Italy!T$18</f>
        <v>0</v>
      </c>
      <c r="U28" s="58">
        <f>Italy!U$18</f>
        <v>371</v>
      </c>
    </row>
    <row r="29" spans="1:107" x14ac:dyDescent="0.25">
      <c r="A29" s="39" t="s">
        <v>34</v>
      </c>
      <c r="B29" s="43" t="str">
        <f t="shared" si="0"/>
        <v/>
      </c>
      <c r="C29" s="66">
        <v>0</v>
      </c>
      <c r="D29" s="37">
        <v>0</v>
      </c>
      <c r="E29" s="103">
        <f>'Czech Republic'!E$10+UK!E$9+Poland!E$16</f>
        <v>0</v>
      </c>
      <c r="F29" s="37">
        <f>'Czech Republic'!F$10+UK!F$9+Poland!F$16</f>
        <v>0</v>
      </c>
      <c r="G29" s="37">
        <f>'Czech Republic'!G$10+UK!G$9+Poland!G$16</f>
        <v>0</v>
      </c>
      <c r="H29" s="37">
        <f>'Czech Republic'!H$10+UK!H$9+Poland!H$16</f>
        <v>0</v>
      </c>
      <c r="I29" s="37">
        <f>'Czech Republic'!I$10+UK!I$9+Poland!I$16</f>
        <v>0</v>
      </c>
      <c r="J29" s="37">
        <f>'Czech Republic'!J$10+UK!J$9+Poland!J$16</f>
        <v>0</v>
      </c>
      <c r="K29" s="37">
        <f>'Czech Republic'!K$10+UK!K$9+Poland!K$16</f>
        <v>0</v>
      </c>
      <c r="L29" s="37">
        <f>'Czech Republic'!L$10+UK!L$9+Poland!L$16+Denmark!L$18</f>
        <v>0</v>
      </c>
      <c r="M29" s="37">
        <f>'Czech Republic'!M$10+UK!M$9+Poland!M$16+Denmark!M$18</f>
        <v>0</v>
      </c>
      <c r="N29" s="37">
        <f>'Czech Republic'!N$10+UK!N$9+Poland!N$16+Denmark!N$18</f>
        <v>113</v>
      </c>
      <c r="O29" s="37">
        <f>'Czech Republic'!O$10+UK!O$9+Poland!O$16+Denmark!O$18</f>
        <v>0</v>
      </c>
      <c r="P29" s="37">
        <f>'Czech Republic'!P$10+UK!P$9+Poland!P$16+Denmark!P$18</f>
        <v>0</v>
      </c>
      <c r="Q29" s="37">
        <f>'Czech Republic'!Q$10+UK!Q$9+Poland!Q$16</f>
        <v>0</v>
      </c>
      <c r="R29" s="37">
        <f>'Czech Republic'!R$10+UK!R$9+Poland!R$16</f>
        <v>0</v>
      </c>
      <c r="S29" s="37">
        <f>'Czech Republic'!S$10+UK!S$9+Poland!S$16</f>
        <v>0</v>
      </c>
      <c r="T29" s="37">
        <f>'Czech Republic'!T$10+UK!T$9+Poland!T$16</f>
        <v>0</v>
      </c>
      <c r="U29" s="58">
        <f>'Czech Republic'!U$10+UK!U$9+Poland!U$16</f>
        <v>0</v>
      </c>
    </row>
    <row r="30" spans="1:107" x14ac:dyDescent="0.25">
      <c r="A30" s="39" t="s">
        <v>124</v>
      </c>
      <c r="B30" s="43">
        <f t="shared" si="0"/>
        <v>0.88088441750443525</v>
      </c>
      <c r="C30" s="66">
        <v>-14305.041444444445</v>
      </c>
      <c r="D30" s="37">
        <v>-13038.888888888891</v>
      </c>
      <c r="E30" s="103">
        <f>Denmark!E$18+France!E$2+France!E$24+France!E$17+France!E$15+France!E$13+Switzerland!E$17+UK!E$10+Germany!E$19+Netherlands!E$6</f>
        <v>12722.3022</v>
      </c>
      <c r="F30" s="37">
        <f>Denmark!F$18+France!F$2+France!F$24+France!F$17+France!F$15+France!F$13+Switzerland!F$17+UK!F$10+Germany!F$19+Netherlands!F$6</f>
        <v>6764</v>
      </c>
      <c r="G30" s="37">
        <f>Denmark!G$18+France!G$2+France!G$24+France!G$17+France!G$15+France!G$13+Switzerland!G$17+UK!G$10+Germany!G$19+Netherlands!G$6</f>
        <v>14927</v>
      </c>
      <c r="H30" s="37">
        <f>Denmark!H$18+France!H$2+France!H$24+France!H$17+France!H$15+France!H$13+Switzerland!H$17+UK!H$10+Germany!H$19+Netherlands!H$6</f>
        <v>18645</v>
      </c>
      <c r="I30" s="37">
        <f>Denmark!I$18+France!I$2+France!I$24+France!I$17+France!I$15+France!I$13+Switzerland!I$17+UK!I$10+Germany!I$19+Netherlands!I$6</f>
        <v>9956</v>
      </c>
      <c r="J30" s="37">
        <f>Denmark!J$18+France!J$2+France!J$24+France!J$17+France!J$15+France!J$13+Switzerland!J$17+UK!J$10+Germany!J$19+Netherlands!J$6</f>
        <v>10147</v>
      </c>
      <c r="K30" s="37">
        <f>Denmark!K$18+France!K$2+France!K$24+France!K$17+France!K$15+France!K$13+Switzerland!K$17+UK!K$10+Germany!K$19+Netherlands!K$6</f>
        <v>14714</v>
      </c>
      <c r="L30" s="37">
        <f>Denmark!L$19+France!L$2+France!L$24+France!L$17+France!L$15+France!L$13+Switzerland!L$17+UK!L$10+Germany!L$19</f>
        <v>445</v>
      </c>
      <c r="M30" s="37">
        <f>Denmark!M$19+France!M$2+France!M$24+France!M$17+France!M$15+France!M$13+Switzerland!M$17+UK!M$10+Germany!M$19</f>
        <v>6510</v>
      </c>
      <c r="N30" s="37">
        <f>Denmark!N$19+France!N$2+France!N$24+France!N$17+France!N$15+France!N$13+Switzerland!N$17+UK!N$10+Germany!N$19</f>
        <v>3325</v>
      </c>
      <c r="O30" s="37">
        <f>Denmark!O$19+France!O$2+France!O$24+France!O$17+France!O$15+France!O$13+Switzerland!O$17+UK!O$10+Germany!O$19</f>
        <v>5282</v>
      </c>
      <c r="P30" s="37">
        <f>Denmark!P$19+France!P$2+France!P$24+France!P$17+France!P$15+France!P$13+Switzerland!P$17+UK!P$10+Germany!P$19</f>
        <v>6399</v>
      </c>
      <c r="Q30" s="37">
        <f>Denmark!Q18+France!Q$2+France!Q$24+France!Q$17+France!Q$15+France!Q$13+Switzerland!Q$17+UK!Q$10+Germany!Q$19</f>
        <v>1089</v>
      </c>
      <c r="R30" s="37">
        <f>Denmark!R18+France!R$2+France!R$24+France!R$17+France!R$15+France!R$13+Switzerland!R$17+UK!R$10+Germany!R$19</f>
        <v>2556</v>
      </c>
      <c r="S30" s="37">
        <f>Denmark!S18+France!S$2+France!S$24+France!S$17+France!S$15+France!S$13+Switzerland!S$17+UK!S$10+Germany!S$19</f>
        <v>957</v>
      </c>
      <c r="T30" s="37">
        <f>Denmark!T$18+France!T$2+France!T$24+France!T$17+France!T$15+France!T$13+Switzerland!T$17+UK!T$10+Germany!T$19</f>
        <v>2122</v>
      </c>
      <c r="U30" s="58">
        <f>Denmark!U$18+Switzerland!U$17+UK!U$10+Germany!U$19</f>
        <v>335</v>
      </c>
    </row>
    <row r="31" spans="1:107" ht="13.8" thickBot="1" x14ac:dyDescent="0.3">
      <c r="A31" s="39" t="s">
        <v>6</v>
      </c>
      <c r="B31" s="43">
        <f t="shared" si="0"/>
        <v>9.7167117473501638E-2</v>
      </c>
      <c r="C31" s="66">
        <v>-45976.250273650563</v>
      </c>
      <c r="D31" s="37">
        <v>-48248.665025659386</v>
      </c>
      <c r="E31" s="103">
        <f>Austria!E$2+Austria!E$6+Austria!E$15+Austria!E$18+Austria!E$19+Austria!E$20+Belgium!E$9+'Czech Republic'!E$11+Denmark!E$3+Denmark!E$16+Denmark!E$19+Germany!E$12+Germany!E$18+Germany!E$20+Italy!E$19+Spain!E$7+Switzerland!E$7+Switzerland!E$13+Switzerland!E$15+Switzerland!E$16+Switzerland!E$18+Netherlands!E$7+UK!E$11+France!E$3+France!E$7+France!E$22+France!E$23+France!E$25+Poland!E$10+Poland!E$17</f>
        <v>45393.462798458269</v>
      </c>
      <c r="F31" s="36">
        <f>Austria!F$2+Austria!F$6+Austria!F$15+Austria!F$18+Austria!F$19+Austria!F$20+Belgium!F$9+'Czech Republic'!F$11+Denmark!F$3+Denmark!F$16+Denmark!F$19+Germany!F$12+Germany!F$18+Germany!F$20+Italy!F$19+Spain!F$7+Switzerland!F$7+Switzerland!F$13+Switzerland!F$15+Switzerland!F$16+Switzerland!F$18+Netherlands!F$7+UK!F$11+France!F$3+France!F$7+France!F$22+France!F$23+France!F$25+Poland!F$10+Poland!F$17</f>
        <v>41373.335087719301</v>
      </c>
      <c r="G31" s="36">
        <f>Austria!G$2+Austria!G$6+Austria!G$15+Austria!G$18+Austria!G$19+Austria!G$20+Belgium!G$9+'Czech Republic'!G$11+Denmark!G$3+Denmark!G$16+Denmark!G$19+Germany!G$12+Germany!G$18+Germany!G$20+Italy!G$19+Spain!G$7+Switzerland!G$7+Switzerland!G$13+Switzerland!G$15+Switzerland!G$16+Switzerland!G$18+Netherlands!G$7+UK!G$11+France!G$3+France!G$7+France!G$22+France!G$23+France!G$25+Poland!G$10+Poland!G$17</f>
        <v>31922.842775581907</v>
      </c>
      <c r="H31" s="36">
        <f>Austria!H$2+Austria!H$6+Austria!H$15+Austria!H$18+Austria!H$19+Austria!H$20+Belgium!H$9+'Czech Republic'!H$11+Denmark!H$3+Denmark!H$16+Denmark!H$19+Germany!H$12+Germany!H$18+Germany!H$20+Italy!H$19+Spain!H$7+Switzerland!H$7+Switzerland!H$13+Switzerland!H$15+Switzerland!H$16+Switzerland!H$18+Netherlands!H$7+UK!H$11+France!H$3+France!H$7+France!H$22+France!H$23+France!H$25+Poland!H$10+Poland!H$17</f>
        <v>36895.52788757137</v>
      </c>
      <c r="I31" s="36">
        <f>Austria!I$2+Austria!I$6+Austria!I$15+Austria!I$18+Austria!I$19+Austria!I$20+Belgium!I$9+'Czech Republic'!I$11+Denmark!I$3+Denmark!I$16+Denmark!I$19+Germany!I$12+Germany!I$18+Germany!I$20+Italy!I$19+Spain!I$7+Switzerland!I$7+Switzerland!I$13+Switzerland!I$15+Switzerland!I$16+Switzerland!I$18+Netherlands!I$7+UK!I$11+France!I$3+France!I$7+France!I$22+France!I$23+France!I$25+Poland!I$10+Poland!I$17</f>
        <v>33326.050000000003</v>
      </c>
      <c r="J31" s="36">
        <f>Austria!J$2+Austria!J$6+Austria!J$15+Austria!J$18+Austria!J$19+Austria!J$20+Belgium!J$9+'Czech Republic'!J$11+Denmark!J$3+Denmark!J$16+Denmark!J$19+Germany!J$12+Germany!J$18+Germany!J$20+Italy!J$19+Spain!J$7+Switzerland!J$7+Switzerland!J$13+Switzerland!J$15+Switzerland!J$16+Switzerland!J$18+Netherlands!J$7+UK!J$11+France!J$3+France!J$7+France!J$22+France!J$23+France!J$25+Poland!J$10+Poland!J$17</f>
        <v>10409</v>
      </c>
      <c r="K31" s="36">
        <f>Austria!K$2+Austria!K$6+Austria!K$15+Austria!K$18+Austria!K$19+Austria!K$20+Belgium!K$9+'Czech Republic'!K$11+Denmark!K$3+Denmark!K$16+Denmark!K$19+Germany!K$12+Germany!K$18+Germany!K$20+Italy!K$19+Spain!K$7+Switzerland!K$7+Switzerland!K$13+Switzerland!K$15+Switzerland!K$16+Switzerland!K$18+Netherlands!K$7+UK!K$11+France!K$3+France!K$7+France!K$22+France!K$23+France!K$25+Poland!K$10+Poland!K$17</f>
        <v>30883.599999999999</v>
      </c>
      <c r="L31" s="36">
        <f>Austria!L$2+Austria!L$6+Austria!L$15+Austria!L$18+Austria!L$19+Austria!L$20+Belgium!L$9+'Czech Republic'!L$11+Denmark!L$3+Denmark!L$16+Denmark!L$13+Denmark!L$20+Germany!L$12+Germany!L$18+Germany!L$20+Italy!L$19+Spain!L$7+Switzerland!L$7+Switzerland!L$13+Switzerland!L$15+Switzerland!L$16+Switzerland!L$18+Netherlands!L$7+UK!L$11+France!L$3+France!L$7+France!L$22+France!L$23+France!L$25+Poland!L$10+Poland!L$17</f>
        <v>5767</v>
      </c>
      <c r="M31" s="36">
        <f>Austria!M$2+Austria!M$6+Austria!M$15+Austria!M$18+Austria!M$19+Austria!M$20+Belgium!M$9+'Czech Republic'!M$11+Denmark!M$3+Denmark!M$16+Denmark!M$13+Denmark!M$20+Germany!M$12+Germany!M$18+Germany!M$20+Italy!M$19+Spain!M$7+Switzerland!M$7+Switzerland!M$13+Switzerland!M$15+Switzerland!M$16+Switzerland!M$18+Netherlands!M$7+UK!M$11+France!M$3+France!M$7+France!M$22+France!M$23+France!M$25+Poland!M$10+Poland!M$17</f>
        <v>27161</v>
      </c>
      <c r="N31" s="36">
        <f>Austria!N$2+Austria!N$6+Austria!N$15+Austria!N$18+Austria!N$19+Austria!N$20+Belgium!N$9+'Czech Republic'!N$11+Denmark!N$3+Denmark!N$16+Denmark!N$13+Denmark!N$20+Germany!N$12+Germany!N$18+Germany!N$20+Italy!N$19+Spain!N$7+Switzerland!N$7+Switzerland!N$13+Switzerland!N$15+Switzerland!N$16+Switzerland!N$18+Netherlands!N$7+UK!N$11+France!N$3+France!N$7+France!N$22+France!N$23+France!N$25+Poland!N$10+Poland!N$17</f>
        <v>24851.1</v>
      </c>
      <c r="O31" s="36">
        <f>Austria!O$2+Austria!O$6+Austria!O$15+Austria!O$18+Austria!O$19+Austria!O$20+Belgium!O$9+'Czech Republic'!O$11+Denmark!O$3+Denmark!O$16+Denmark!O$13+Denmark!O$20+Germany!O$12+Germany!O$18+Germany!O$20+Italy!O$19+Spain!O$7+Switzerland!O$7+Switzerland!O$13+Switzerland!O$15+Switzerland!O$16+Switzerland!O$18+Netherlands!O$7+UK!O$11+France!O$3+France!O$7+France!O$22+France!O$23+France!O$25+Poland!O$10+Poland!O$17</f>
        <v>17340</v>
      </c>
      <c r="P31" s="36">
        <f>Austria!P$2+Austria!P$6+Austria!P$15+Austria!P$18+Austria!P$19+Austria!P$20+Belgium!P$9+'Czech Republic'!P$11+Denmark!P$3+Denmark!P$16+Denmark!P$13+Denmark!P$20+Germany!P$12+Germany!P$18+Germany!P$20+Italy!P$19+Spain!P$7+Switzerland!P$7+Switzerland!P$13+Switzerland!P$15+Switzerland!P$16+Switzerland!P$18+Netherlands!P$7+UK!P$11+France!P$3+France!P$7+France!P$22+France!P$23+France!P$25+Poland!P$10+Poland!P$17</f>
        <v>32617.599999999999</v>
      </c>
      <c r="Q31" s="36">
        <f>Austria!Q$2+Austria!Q$6+Austria!Q$15+Austria!Q$18+Austria!Q$19+Austria!Q$20+Belgium!Q$9+'Czech Republic'!Q$11+Denmark!Q$3+Denmark!Q$16+Denmark!Q$13+Denmark!Q$19+Germany!Q$12+Germany!Q$18+Germany!Q$20+Italy!Q$19+Poland!Q$10+Spain!Q$7+Switzerland!Q$7+Switzerland!Q$13+Switzerland!Q$15+Switzerland!Q$16+Switzerland!Q$18+Netherlands!Q$7+UK!Q$11+France!Q$3+France!Q$7+France!Q$22+France!Q$23+France!Q$25+Poland!Q$17</f>
        <v>7154</v>
      </c>
      <c r="R31" s="36">
        <f>Austria!R$2+Austria!R$6+Austria!R$15+Austria!R$18+Austria!R$19+Austria!R$20+Belgium!R$9+'Czech Republic'!R$11+Denmark!R$3+Denmark!R$16+Denmark!R$13+Denmark!R$19+Germany!R$12+Germany!R$18+Germany!R$20+Italy!R$19+Poland!R$10+Spain!R$7+Switzerland!R$7+Switzerland!R$13+Switzerland!R$15+Switzerland!R$16+Switzerland!R$18+Netherlands!R$7+UK!R$11+France!R$3+France!R$7+France!R$22+France!R$23+France!R$25+Poland!R$17</f>
        <v>10637</v>
      </c>
      <c r="S31" s="36">
        <f>Austria!S$2+Austria!S$6+Austria!S$15+Austria!S$18+Austria!S$19+Austria!S$20+Belgium!S$9+'Czech Republic'!S$11+Denmark!S$3+Denmark!S$16+Denmark!S$13+Denmark!S$19+Germany!S$12+Germany!S$18+Germany!S$20+Italy!S$19+Spain!S$7+Switzerland!S$7+Switzerland!S$13+Switzerland!S$15+Switzerland!S$16+Switzerland!S$18+Netherlands!S$7+UK!S$11+France!S$3+France!S$7+France!S$22+France!S$23+France!S$25+Poland!S$17+Poland!S$10</f>
        <v>8802.18</v>
      </c>
      <c r="T31" s="36">
        <f>Austria!T$2+Austria!T$15+Austria!T$18+Austria!T$19+Austria!T$20+Belgium!S$5+Belgium!T$9+'Czech Republic'!T$11+Denmark!T$3+Denmark!T$15+Denmark!T13+Denmark!T$19+Germany!T$12+Germany!T$18+Germany!T$20+Italy!T$19+Spain!T$7+Switzerland!T$7+Switzerland!T$13+Switzerland!T$15+Switzerland!T$16+Switzerland!T$18+Netherlands!T$7+UK!T$11+France!T$3+France!T$7+France!T$22+France!T$23+France!T$25+Poland!T$17</f>
        <v>11505</v>
      </c>
      <c r="U31" s="59">
        <f>Austria!U$2+Austria!U$15+Austria!U$18+Austria!U$19+Austria!U$20+Belgium!S$5+Belgium!U$9+'Czech Republic'!U$11+Denmark!U$3+Denmark!U$15+Denmark!U$13+Denmark!U$19+Germany!U$12+Germany!U$18+Germany!U$20+Italy!U$19+Spain!U$7+Switzerland!U$7+Switzerland!U$13+Switzerland!U$15+Switzerland!U$16+Switzerland!U$18+Netherlands!U$7+UK!U$11+Poland!U$17</f>
        <v>17017</v>
      </c>
      <c r="W31" s="3"/>
    </row>
    <row r="32" spans="1:107" ht="13.8" thickBot="1" x14ac:dyDescent="0.3">
      <c r="A32" s="38" t="s">
        <v>93</v>
      </c>
      <c r="B32" s="125">
        <f t="shared" si="0"/>
        <v>-0.2071394696944712</v>
      </c>
      <c r="C32" s="63">
        <v>-336825.92576549266</v>
      </c>
      <c r="D32" s="42">
        <v>-322071.67520292237</v>
      </c>
      <c r="E32" s="108">
        <f>SUM(E2:E31)</f>
        <v>340538.28424215986</v>
      </c>
      <c r="F32" s="33">
        <f>SUM(F2:F31)</f>
        <v>429505.91084529512</v>
      </c>
      <c r="G32" s="33">
        <f>SUM(G2:G31)</f>
        <v>328863.53161353467</v>
      </c>
      <c r="H32" s="33">
        <f>SUM(H2:H31)</f>
        <v>531747.2644958836</v>
      </c>
      <c r="I32" s="33">
        <f>SUM(I2:I31)</f>
        <v>459631.26824842184</v>
      </c>
      <c r="J32" s="33">
        <f t="shared" ref="J32:O32" si="1">SUM(J2:J31)</f>
        <v>339800.88837758801</v>
      </c>
      <c r="K32" s="33">
        <f t="shared" si="1"/>
        <v>561042.6</v>
      </c>
      <c r="L32" s="33">
        <f t="shared" si="1"/>
        <v>152891.29999999999</v>
      </c>
      <c r="M32" s="42">
        <f t="shared" si="1"/>
        <v>469442</v>
      </c>
      <c r="N32" s="42">
        <f t="shared" si="1"/>
        <v>406818.10000000003</v>
      </c>
      <c r="O32" s="42">
        <f t="shared" si="1"/>
        <v>376876.58925449627</v>
      </c>
      <c r="P32" s="42">
        <f t="shared" ref="P32:U32" si="2">SUM(P2:P31)</f>
        <v>416936.36573230795</v>
      </c>
      <c r="Q32" s="42">
        <f t="shared" si="2"/>
        <v>165884.15237044464</v>
      </c>
      <c r="R32" s="42">
        <f t="shared" si="2"/>
        <v>286380</v>
      </c>
      <c r="S32" s="42">
        <f t="shared" si="2"/>
        <v>214682.87310732467</v>
      </c>
      <c r="T32" s="42">
        <f t="shared" si="2"/>
        <v>287958.24831686099</v>
      </c>
      <c r="U32" s="82">
        <f t="shared" si="2"/>
        <v>311395</v>
      </c>
    </row>
    <row r="33" spans="1:21" x14ac:dyDescent="0.25">
      <c r="A33" s="47" t="s">
        <v>150</v>
      </c>
    </row>
    <row r="34" spans="1:21" ht="13.8" thickBo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s="47" customFormat="1" ht="13.8" thickBot="1" x14ac:dyDescent="0.3">
      <c r="A35" s="48" t="s">
        <v>92</v>
      </c>
      <c r="B35" s="119" t="s">
        <v>170</v>
      </c>
      <c r="C35" s="96" t="s">
        <v>171</v>
      </c>
      <c r="D35" s="97" t="s">
        <v>168</v>
      </c>
      <c r="E35" s="105">
        <v>45839</v>
      </c>
      <c r="F35" s="95">
        <v>45474</v>
      </c>
      <c r="G35" s="95">
        <v>45108</v>
      </c>
      <c r="H35" s="95">
        <v>44743</v>
      </c>
      <c r="I35" s="95">
        <v>44378</v>
      </c>
      <c r="J35" s="95">
        <v>44013</v>
      </c>
      <c r="K35" s="95">
        <v>43647</v>
      </c>
      <c r="L35" s="95">
        <v>43282</v>
      </c>
      <c r="M35" s="24">
        <v>42917</v>
      </c>
      <c r="N35" s="24">
        <v>42552</v>
      </c>
      <c r="O35" s="24">
        <v>42186</v>
      </c>
      <c r="P35" s="24">
        <v>41821</v>
      </c>
      <c r="Q35" s="24">
        <v>41456</v>
      </c>
      <c r="R35" s="24">
        <v>41091</v>
      </c>
      <c r="S35" s="24">
        <v>40725</v>
      </c>
      <c r="T35" s="24">
        <v>40360</v>
      </c>
      <c r="U35" s="25">
        <v>39995</v>
      </c>
    </row>
    <row r="36" spans="1:21" s="47" customFormat="1" x14ac:dyDescent="0.25">
      <c r="A36" s="83" t="s">
        <v>104</v>
      </c>
      <c r="B36" s="84" t="str">
        <f t="shared" ref="B36:B44" si="3">IFERROR(((E36-F36)/F36),"")</f>
        <v/>
      </c>
      <c r="C36" s="126">
        <v>0</v>
      </c>
      <c r="D36" s="85">
        <v>0</v>
      </c>
      <c r="E36" s="111">
        <f>Italy!E$24</f>
        <v>0</v>
      </c>
      <c r="F36" s="85">
        <f>Italy!F$24</f>
        <v>0</v>
      </c>
      <c r="G36" s="85">
        <f>Italy!G$24</f>
        <v>0</v>
      </c>
      <c r="H36" s="85">
        <f>Italy!H$24</f>
        <v>0</v>
      </c>
      <c r="I36" s="85">
        <f>Italy!I$24</f>
        <v>0</v>
      </c>
      <c r="J36" s="85">
        <f>Italy!J$24</f>
        <v>0</v>
      </c>
      <c r="K36" s="85">
        <f>Italy!K$24</f>
        <v>0</v>
      </c>
      <c r="L36" s="51">
        <f>Italy!L$24</f>
        <v>0</v>
      </c>
      <c r="M36" s="37">
        <f>Italy!M$24</f>
        <v>0</v>
      </c>
      <c r="N36" s="85">
        <f>Italy!N$24</f>
        <v>0</v>
      </c>
      <c r="O36" s="85">
        <f>Italy!O$24</f>
        <v>0</v>
      </c>
      <c r="P36" s="85">
        <f>Italy!P$24</f>
        <v>0</v>
      </c>
      <c r="Q36" s="85">
        <f>Italy!Q$24</f>
        <v>0</v>
      </c>
      <c r="R36" s="85">
        <f>Italy!R$24</f>
        <v>0</v>
      </c>
      <c r="S36" s="85">
        <f>Italy!S$24</f>
        <v>0</v>
      </c>
      <c r="T36" s="85">
        <f>Italy!T$24</f>
        <v>0</v>
      </c>
      <c r="U36" s="86">
        <f>Italy!U$24</f>
        <v>0</v>
      </c>
    </row>
    <row r="37" spans="1:21" s="47" customFormat="1" x14ac:dyDescent="0.25">
      <c r="A37" s="49" t="s">
        <v>38</v>
      </c>
      <c r="B37" s="50" t="str">
        <f t="shared" si="3"/>
        <v/>
      </c>
      <c r="C37" s="127">
        <v>0</v>
      </c>
      <c r="D37" s="51">
        <v>-35</v>
      </c>
      <c r="E37" s="99">
        <f>Spain!E$12</f>
        <v>0</v>
      </c>
      <c r="F37" s="51">
        <f>Spain!F$12</f>
        <v>0</v>
      </c>
      <c r="G37" s="51">
        <f>Spain!G$12</f>
        <v>0</v>
      </c>
      <c r="H37" s="51">
        <f>Spain!H$12</f>
        <v>0</v>
      </c>
      <c r="I37" s="51">
        <f>Spain!I$12</f>
        <v>0</v>
      </c>
      <c r="J37" s="51">
        <f>Spain!J$12</f>
        <v>0</v>
      </c>
      <c r="K37" s="51">
        <f>Spain!K$12</f>
        <v>0</v>
      </c>
      <c r="L37" s="51">
        <f>Spain!L$12</f>
        <v>6</v>
      </c>
      <c r="M37" s="37">
        <f>Spain!M$12</f>
        <v>19</v>
      </c>
      <c r="N37" s="51">
        <f>Spain!N$12</f>
        <v>0</v>
      </c>
      <c r="O37" s="51">
        <f>Spain!O$12</f>
        <v>2.1978695029452413</v>
      </c>
      <c r="P37" s="51">
        <f>Spain!P$12</f>
        <v>99.66171249923508</v>
      </c>
      <c r="Q37" s="51">
        <f>Spain!Q$12</f>
        <v>0</v>
      </c>
      <c r="R37" s="51">
        <f>Spain!R$12</f>
        <v>78</v>
      </c>
      <c r="S37" s="51">
        <f>Spain!S$12</f>
        <v>20.530466598198171</v>
      </c>
      <c r="T37" s="51">
        <f>Spain!T$12</f>
        <v>0</v>
      </c>
      <c r="U37" s="60">
        <f>Spain!U$12</f>
        <v>0</v>
      </c>
    </row>
    <row r="38" spans="1:21" s="47" customFormat="1" x14ac:dyDescent="0.25">
      <c r="A38" s="49" t="s">
        <v>39</v>
      </c>
      <c r="B38" s="50" t="str">
        <f t="shared" si="3"/>
        <v/>
      </c>
      <c r="C38" s="127">
        <v>-40</v>
      </c>
      <c r="D38" s="51">
        <v>0</v>
      </c>
      <c r="E38" s="99">
        <f>Spain!E$13</f>
        <v>0</v>
      </c>
      <c r="F38" s="51">
        <f>Spain!F$13</f>
        <v>0</v>
      </c>
      <c r="G38" s="51">
        <f>Spain!G$13</f>
        <v>0</v>
      </c>
      <c r="H38" s="51">
        <f>Spain!H$13</f>
        <v>0</v>
      </c>
      <c r="I38" s="51">
        <f>Spain!I$13</f>
        <v>162.17789168384695</v>
      </c>
      <c r="J38" s="51">
        <f>Spain!J$13</f>
        <v>0</v>
      </c>
      <c r="K38" s="51">
        <f>Spain!K$13</f>
        <v>9</v>
      </c>
      <c r="L38" s="51">
        <f>Spain!L$13</f>
        <v>0</v>
      </c>
      <c r="M38" s="37">
        <f>Spain!M$13</f>
        <v>0</v>
      </c>
      <c r="N38" s="51">
        <f>Spain!N$13</f>
        <v>0</v>
      </c>
      <c r="O38" s="51">
        <f>Spain!O$13</f>
        <v>0</v>
      </c>
      <c r="P38" s="51">
        <f>Spain!P$13</f>
        <v>20.360995026725448</v>
      </c>
      <c r="Q38" s="51">
        <f>Spain!Q$13</f>
        <v>0</v>
      </c>
      <c r="R38" s="51">
        <f>Spain!R$13</f>
        <v>0</v>
      </c>
      <c r="S38" s="51">
        <f>Spain!S$13</f>
        <v>21.611017471787548</v>
      </c>
      <c r="T38" s="51">
        <f>Spain!T$13</f>
        <v>32.509171282196967</v>
      </c>
      <c r="U38" s="60">
        <f>Spain!U$13</f>
        <v>0</v>
      </c>
    </row>
    <row r="39" spans="1:21" s="47" customFormat="1" x14ac:dyDescent="0.25">
      <c r="A39" s="49" t="s">
        <v>7</v>
      </c>
      <c r="B39" s="50">
        <f t="shared" si="3"/>
        <v>-0.2844472770832841</v>
      </c>
      <c r="C39" s="127">
        <v>-22592.885922754471</v>
      </c>
      <c r="D39" s="51">
        <v>-34567.360000000001</v>
      </c>
      <c r="E39" s="99">
        <f>Belgium!E$15+Denmark!E$26+Italy!E$25+Poland!E$22+Spain!E$14+Switzerland!E$24+Netherlands!E$12+UK!E$16+'Czech Republic'!E$16+France!E$32</f>
        <v>25839.324377245528</v>
      </c>
      <c r="F39" s="51">
        <f>Belgium!F$15+Denmark!F$26+Italy!F$25+Poland!F$22+Spain!F$14+Switzerland!F$24+Netherlands!F$12+UK!F$16+'Czech Republic'!F$16+France!F$32</f>
        <v>36111</v>
      </c>
      <c r="G39" s="51">
        <f>Belgium!G$15+Denmark!G$26+Italy!G$25+Poland!G$22+Spain!G$14+Switzerland!G$24+Netherlands!G$12+UK!G$16+'Czech Republic'!G$16+France!G$32</f>
        <v>24194.963626739023</v>
      </c>
      <c r="H39" s="51">
        <f>Belgium!H$15+Denmark!H$26+Italy!H$25+Poland!H$22+Spain!H$14+Switzerland!H$24+Netherlands!H$12+UK!H$16+'Czech Republic'!H$16+France!H$32</f>
        <v>23354.383507567338</v>
      </c>
      <c r="I39" s="51">
        <f>Belgium!I$15+Denmark!I$26+Italy!I$25+Poland!I$22+Spain!I$14+Switzerland!I$24+Netherlands!I$12+UK!I$16+'Czech Republic'!I$16+France!I$32</f>
        <v>21384.859146766099</v>
      </c>
      <c r="J39" s="51">
        <f>Belgium!J$15+Denmark!J$26+Italy!J$25+Poland!J$22+Spain!J$14+Switzerland!J$24+Netherlands!J$12+UK!J$16+'Czech Republic'!J$16+France!J$32</f>
        <v>14225</v>
      </c>
      <c r="K39" s="51">
        <f>Belgium!K$15+Denmark!K$26+Italy!K$25+Poland!K$22+Spain!K$14+Switzerland!K$24+Netherlands!K$12+UK!K$16+'Czech Republic'!K$16+France!K$32</f>
        <v>21690</v>
      </c>
      <c r="L39" s="51">
        <f>Belgium!L$15+Denmark!L$26+Italy!L$25+Poland!L$22+Spain!L$14+Switzerland!L$24+Netherlands!L$12+UK!L$16+'Czech Republic'!L$16+France!L$32</f>
        <v>13812</v>
      </c>
      <c r="M39" s="37">
        <f>Belgium!M$15+Denmark!M$26+Italy!M$25+Poland!M$22+Spain!M$14+Switzerland!M$24+Netherlands!M$12+UK!M$16+'Czech Republic'!M$16+France!M$32</f>
        <v>19140</v>
      </c>
      <c r="N39" s="51">
        <f>Belgium!N$15+Denmark!N$26+Italy!N$25+Poland!N$22+Spain!N$14+Switzerland!N$24+Netherlands!N$12+UK!N$16+'Czech Republic'!N$16+France!N$32</f>
        <v>15617</v>
      </c>
      <c r="O39" s="51">
        <f>Belgium!O$15+Denmark!O$26+Italy!O$25+Poland!O$22+Spain!O$14+Switzerland!O$24+Netherlands!O$12+UK!O$16+'Czech Republic'!O$16+France!O$32</f>
        <v>12121.921300038361</v>
      </c>
      <c r="P39" s="51">
        <f>Belgium!P$15+Denmark!P$26+Italy!P$25+Poland!P$22+Spain!P$14+Switzerland!P$24+Netherlands!P$12+UK!P$16+'Czech Republic'!P$16+France!P$32</f>
        <v>8606.3942081142795</v>
      </c>
      <c r="Q39" s="51">
        <f>Belgium!Q$15+Denmark!Q$24+Italy!Q$25+Poland!Q$22+Spain!Q$14+Switzerland!Q$24+Netherlands!Q$12+UK!Q$16+'Czech Republic'!Q$16+France!Q$32</f>
        <v>1702.6172171839191</v>
      </c>
      <c r="R39" s="51">
        <f>Belgium!R$15+Denmark!R$24+Italy!R$25+Poland!R$22+Spain!R$14+Switzerland!R$24+Netherlands!R$12+UK!R$16+'Czech Republic'!R$16+France!R$32</f>
        <v>13065</v>
      </c>
      <c r="S39" s="51">
        <f>Belgium!S$15+Denmark!S$24+Italy!S$25+Poland!S$22+Spain!S$14+Switzerland!S$24+Netherlands!S$12+UK!S$16+'Czech Republic'!S$16+France!S$33</f>
        <v>9156.1453244049917</v>
      </c>
      <c r="T39" s="51">
        <f>Belgium!T$15+Denmark!T$24+Italy!T$25+Poland!T$22+Spain!T$14+Switzerland!T$24+Netherlands!T$12+UK!T$16+'Czech Republic'!T$16+France!T$33</f>
        <v>7344.5381741045367</v>
      </c>
      <c r="U39" s="60">
        <f>Belgium!U$15+Denmark!U$24+Italy!U$25+Poland!U$22+Spain!U$14+Switzerland!U$24+Netherlands!U$12+UK!U$16+'Czech Republic'!U$16</f>
        <v>1066</v>
      </c>
    </row>
    <row r="40" spans="1:21" s="47" customFormat="1" x14ac:dyDescent="0.25">
      <c r="A40" s="49" t="s">
        <v>94</v>
      </c>
      <c r="B40" s="50">
        <f t="shared" si="3"/>
        <v>5.3242333333333329</v>
      </c>
      <c r="C40" s="127">
        <v>-4.5804000000000009</v>
      </c>
      <c r="D40" s="51">
        <v>0</v>
      </c>
      <c r="E40" s="99">
        <f>Belgium!E$16+Italy!E$26+Poland!E$23+Netherlands!E$13+UK!E$17+France!E$33+Denmark!E$27</f>
        <v>18.9727</v>
      </c>
      <c r="F40" s="51">
        <f>Belgium!F$16+Italy!F$26+Poland!F$23+Netherlands!F$13+UK!F$17+France!F$33+Denmark!F$27</f>
        <v>3</v>
      </c>
      <c r="G40" s="51">
        <f>Belgium!G$16+Italy!G$26+Poland!G$23+Netherlands!G$13+UK!G$17+France!G$33+Denmark!G$27</f>
        <v>8</v>
      </c>
      <c r="H40" s="51">
        <f>Belgium!H$16+Italy!H$26+Poland!H$23+Netherlands!H$13+UK!H$17+France!H$33+Denmark!H$27</f>
        <v>0</v>
      </c>
      <c r="I40" s="51">
        <f>Belgium!I$16+Italy!I$26+Poland!I$23+Netherlands!I$13+UK!I$17+France!I$33+Denmark!I$27</f>
        <v>0</v>
      </c>
      <c r="J40" s="51">
        <f>Belgium!J$16+Italy!J$26+Poland!J$23+Netherlands!J$13+UK!J$17+France!J$33+Denmark!J$27</f>
        <v>2</v>
      </c>
      <c r="K40" s="51">
        <f>Belgium!K$16+Italy!K$26+Poland!K$23+Netherlands!K$13+UK!K$17+France!K$33+Denmark!K$27</f>
        <v>0</v>
      </c>
      <c r="L40" s="51">
        <f>Belgium!L$16+Italy!L$26+Poland!L$23+Netherlands!L$13+UK!L$17+France!L$33+Denmark!L$27</f>
        <v>67</v>
      </c>
      <c r="M40" s="37">
        <f>Belgium!M$16+Italy!M$26+Poland!M$23+Netherlands!M$13+UK!M$17+France!M$33+Denmark!M$27</f>
        <v>0</v>
      </c>
      <c r="N40" s="51">
        <f>Belgium!N$16+Italy!N$26+Poland!N$23+Netherlands!N$13+UK!N$17+France!N$33+Denmark!N$27</f>
        <v>3</v>
      </c>
      <c r="O40" s="51">
        <f>Belgium!O$16+Italy!O$26+Poland!O$23+Netherlands!O$13+UK!O$17+France!O$33+Denmark!O$27</f>
        <v>3</v>
      </c>
      <c r="P40" s="51">
        <f>Belgium!P$16+Italy!P$26+Poland!P$23+Netherlands!P$13+UK!P$17+France!P$33+Denmark!P$27</f>
        <v>3</v>
      </c>
      <c r="Q40" s="51">
        <f>Belgium!Q$16+Italy!Q$26+Poland!Q$23+Netherlands!Q$13+UK!Q$17+France!Q$33</f>
        <v>0</v>
      </c>
      <c r="R40" s="51">
        <f>Belgium!R$16+Italy!R$26+Poland!R$23+Netherlands!R$13+UK!R$17+France!R$33</f>
        <v>0</v>
      </c>
      <c r="S40" s="51">
        <f>Belgium!S$16+Italy!S$26+Poland!S$23+Netherlands!S$13+UK!S$17+France!S$34</f>
        <v>0</v>
      </c>
      <c r="T40" s="51">
        <f>Belgium!T$16+Italy!T$26+Poland!T$23+Netherlands!T$13+UK!T$17+France!T$34</f>
        <v>0</v>
      </c>
      <c r="U40" s="60">
        <f>Belgium!U$16+Italy!U$26+Poland!U$23+Netherlands!U$13+UK!U$17</f>
        <v>0</v>
      </c>
    </row>
    <row r="41" spans="1:21" s="47" customFormat="1" x14ac:dyDescent="0.25">
      <c r="A41" s="49" t="s">
        <v>29</v>
      </c>
      <c r="B41" s="50" t="str">
        <f t="shared" si="3"/>
        <v/>
      </c>
      <c r="C41" s="127">
        <v>0</v>
      </c>
      <c r="D41" s="51">
        <v>0</v>
      </c>
      <c r="E41" s="99">
        <f>Italy!E$27</f>
        <v>0</v>
      </c>
      <c r="F41" s="51">
        <f>Italy!F$27</f>
        <v>0</v>
      </c>
      <c r="G41" s="51">
        <f>Italy!G$27</f>
        <v>0</v>
      </c>
      <c r="H41" s="51">
        <f>Italy!H$27</f>
        <v>0</v>
      </c>
      <c r="I41" s="51">
        <f>Italy!I$27</f>
        <v>0</v>
      </c>
      <c r="J41" s="51">
        <f>Italy!J$27</f>
        <v>0</v>
      </c>
      <c r="K41" s="51">
        <f>Italy!K$27</f>
        <v>0</v>
      </c>
      <c r="L41" s="51">
        <f>Italy!L$27</f>
        <v>0</v>
      </c>
      <c r="M41" s="37">
        <f>Italy!M$27</f>
        <v>0</v>
      </c>
      <c r="N41" s="51">
        <f>Italy!N$27</f>
        <v>0</v>
      </c>
      <c r="O41" s="51">
        <f>Italy!O$27</f>
        <v>0</v>
      </c>
      <c r="P41" s="51">
        <f>Italy!P$27</f>
        <v>0</v>
      </c>
      <c r="Q41" s="51">
        <f>Italy!Q$27</f>
        <v>0</v>
      </c>
      <c r="R41" s="51">
        <f>Italy!R$27</f>
        <v>0</v>
      </c>
      <c r="S41" s="51">
        <f>Italy!S$27</f>
        <v>0</v>
      </c>
      <c r="T41" s="51">
        <f>Italy!T$27</f>
        <v>0</v>
      </c>
      <c r="U41" s="60">
        <f>Italy!U$27</f>
        <v>0</v>
      </c>
    </row>
    <row r="42" spans="1:21" s="47" customFormat="1" x14ac:dyDescent="0.25">
      <c r="A42" s="49" t="s">
        <v>149</v>
      </c>
      <c r="B42" s="128" t="str">
        <f t="shared" si="3"/>
        <v/>
      </c>
      <c r="C42" s="129"/>
      <c r="D42" s="130"/>
      <c r="E42" s="131">
        <f>Portugal!E$13</f>
        <v>0</v>
      </c>
      <c r="F42" s="51">
        <f>Portugal!F$13</f>
        <v>0</v>
      </c>
      <c r="G42" s="51">
        <f>Portugal!G$13</f>
        <v>0</v>
      </c>
      <c r="H42" s="51">
        <f>Portugal!H$13</f>
        <v>4060</v>
      </c>
      <c r="I42" s="51">
        <f>Portugal!I$13</f>
        <v>0</v>
      </c>
      <c r="J42" s="51">
        <f>Portugal!J$13</f>
        <v>747</v>
      </c>
      <c r="K42" s="51">
        <f>Portugal!K$13</f>
        <v>1143</v>
      </c>
      <c r="L42" s="51">
        <f>Portugal!L$13</f>
        <v>0</v>
      </c>
      <c r="M42" s="37">
        <f>Portugal!M$13</f>
        <v>400</v>
      </c>
      <c r="N42" s="51">
        <f>Portugal!N$13</f>
        <v>0</v>
      </c>
      <c r="O42" s="51">
        <f>Portugal!O$13</f>
        <v>0</v>
      </c>
      <c r="P42" s="51">
        <f>Portugal!P$13</f>
        <v>0</v>
      </c>
      <c r="Q42" s="51">
        <f>Portugal!Q$13</f>
        <v>0</v>
      </c>
      <c r="R42" s="51">
        <f>Portugal!R$13</f>
        <v>0</v>
      </c>
      <c r="S42" s="51">
        <f>Portugal!S$13</f>
        <v>0</v>
      </c>
      <c r="T42" s="51">
        <f>Portugal!T$13</f>
        <v>0</v>
      </c>
      <c r="U42" s="60"/>
    </row>
    <row r="43" spans="1:21" s="47" customFormat="1" ht="13.8" thickBot="1" x14ac:dyDescent="0.3">
      <c r="A43" s="52" t="s">
        <v>6</v>
      </c>
      <c r="B43" s="53">
        <f t="shared" si="3"/>
        <v>-0.4179928186782928</v>
      </c>
      <c r="C43" s="132">
        <v>-390.26409999999998</v>
      </c>
      <c r="D43" s="54">
        <v>-465.93583154826399</v>
      </c>
      <c r="E43" s="100">
        <f>Belgium!E$19+Denmark!E$28+Germany!E$25+Italy!E$28+Poland!E$24+Spain!E$15+Spain!E$16+Switzerland!E$23+Switzerland!E$25+Switzerland!E$27+Netherlands!E$14+UK!E$18+'Czech Republic'!E$17+'Czech Republic'!E$20+'Czech Republic'!E$21+'Czech Republic'!E$22+France!E$31+France!E$35+France!E$36+France!E$37+France!E$30</f>
        <v>53</v>
      </c>
      <c r="F43" s="54">
        <f>Belgium!F$19+Denmark!F$28+Germany!F$25+Italy!F$28+Poland!F$24+Spain!F$15+Spain!F$16+Switzerland!F$23+Switzerland!F$25+Switzerland!F$27+Netherlands!F$14+UK!F$18+'Czech Republic'!F$17+'Czech Republic'!F$20+'Czech Republic'!F$21+'Czech Republic'!F$22+France!F$31+France!F$35+France!F$36+France!F$37+France!F$30</f>
        <v>91.064168451735995</v>
      </c>
      <c r="G43" s="54">
        <f>Belgium!G$19+Denmark!G$28+Germany!G$25+Italy!G$28+Poland!G$24+Spain!G$15+Spain!G$16+Switzerland!G$23+Switzerland!G$25+Switzerland!G$27+Netherlands!G$14+UK!G$18+'Czech Republic'!G$17+'Czech Republic'!G$20+'Czech Republic'!G$21+'Czech Republic'!G$22+France!G$31+France!G$35+France!G$36+France!G$37+France!G$30</f>
        <v>61.050375779706712</v>
      </c>
      <c r="H43" s="54">
        <f>Belgium!H$19+Denmark!H$28+Germany!H$25+Italy!H$28+Poland!H$24+Spain!H$15+Spain!H$16+Switzerland!H$23+Switzerland!H$25+Switzerland!H$27+Netherlands!H$14+UK!H$18+'Czech Republic'!H$17+'Czech Republic'!H$20+'Czech Republic'!H$21+'Czech Republic'!H$22+France!H$31+France!H$35+France!H$36+France!H$37+France!H$30</f>
        <v>120.99061773825304</v>
      </c>
      <c r="I43" s="54">
        <f>Belgium!I$19+Denmark!I$28+Germany!I$25+Italy!I$28+Poland!I$24+Spain!I$15+Spain!I$16+Switzerland!I$23+Switzerland!I$25+Switzerland!I$27+Netherlands!I$14+UK!I$18+'Czech Republic'!I$17+'Czech Republic'!I$20+'Czech Republic'!I$21+'Czech Republic'!I$22+France!I$31+France!I$35+France!I$36+France!I$37+France!I$30</f>
        <v>134.55435579228657</v>
      </c>
      <c r="J43" s="54">
        <f>Belgium!J$19+Denmark!J$28+Germany!J$25+Italy!J$28+Poland!J$24+Spain!J$15+Spain!J$16+Switzerland!J$23+Switzerland!J$25+Switzerland!J$27+Netherlands!J$14+UK!J$18+'Czech Republic'!J$17+'Czech Republic'!J$20+'Czech Republic'!J$21+'Czech Republic'!J$22+France!J$31+France!J$35+France!J$36+France!J$37+France!J$30</f>
        <v>47</v>
      </c>
      <c r="K43" s="54">
        <f>Belgium!K$19+Denmark!K$28+Germany!K$25+Italy!K$28+Poland!K$24+Spain!K$15+Spain!K$16+Switzerland!K$23+Switzerland!K$25+Switzerland!K$27+Netherlands!K$14+UK!K$18+'Czech Republic'!K$17+'Czech Republic'!K$20+'Czech Republic'!K$21+'Czech Republic'!K$22+France!K$31+France!K$35+France!K$36+France!K$37+France!K$30</f>
        <v>44</v>
      </c>
      <c r="L43" s="54">
        <f>Belgium!L$19+Denmark!L$28+Germany!L$25+Italy!L$28+Poland!L$24+Spain!L$15+Spain!L$16+Switzerland!L$23+Switzerland!L$25+Switzerland!L$27+Netherlands!L$14+UK!L$18+'Czech Republic'!L$17+'Czech Republic'!L$20+'Czech Republic'!L$21+'Czech Republic'!L$22+France!L$31+France!L$35+France!L$36+France!L$37+France!L$30</f>
        <v>108</v>
      </c>
      <c r="M43" s="37">
        <f>Belgium!M$19+Denmark!M$28+Germany!M$25+Italy!M$28+Poland!M$24+Spain!M$15+Spain!M$16+Switzerland!M$23+Switzerland!M$25+Switzerland!M$27+Netherlands!M$14+UK!M$18+'Czech Republic'!M$17+'Czech Republic'!M$20+'Czech Republic'!M$21+'Czech Republic'!M$22+France!M$31+France!M$35+France!M$36+France!M$37+France!M$30</f>
        <v>200</v>
      </c>
      <c r="N43" s="54">
        <f>Belgium!N$19+Denmark!N$28+Germany!N$25+Italy!N$28+Poland!N$24+Spain!N$15+Spain!N$16+Switzerland!N$23+Switzerland!N$25+Switzerland!N$27+Netherlands!N$14+UK!N$18+'Czech Republic'!N$17+'Czech Republic'!N$20+'Czech Republic'!N$21+'Czech Republic'!N$22+France!N$31+France!N$35+France!N$36+France!N$37+France!N$30</f>
        <v>29</v>
      </c>
      <c r="O43" s="54">
        <f>Belgium!O$19+Denmark!O$28+Germany!O$25+Italy!O$28+Poland!O$24+Spain!O$15+Spain!O$16+Switzerland!O$23+Switzerland!O$25+Switzerland!O$27+Netherlands!O$14+UK!O$18+'Czech Republic'!O$17+'Czech Republic'!O$20+'Czech Republic'!O$21+'Czech Republic'!O$22+France!O$31+France!O$35+France!O$36+France!O$37+France!O$30</f>
        <v>137</v>
      </c>
      <c r="P43" s="54">
        <f>Belgium!P$19+Denmark!P$28+Germany!P$25+Italy!P$28+Poland!P$24+Spain!P$15+Spain!P$16+Switzerland!P$23+Switzerland!P$25+Switzerland!P$27+Netherlands!P$14+UK!P$18+'Czech Republic'!P$17+'Czech Republic'!P$20+'Czech Republic'!P$21+'Czech Republic'!P$22+France!P$31+France!P$35+France!P$36+France!P$37+France!P$30</f>
        <v>692</v>
      </c>
      <c r="Q43" s="54">
        <f>Belgium!Q$19+Denmark!Q$26+Germany!Q$25+Italy!Q$28+Poland!Q$24+Spain!Q$15+Spain!Q$16+Switzerland!Q$23+Switzerland!Q$25+Switzerland!Q$27+Netherlands!Q$14+UK!Q$18+'Czech Republic'!Q$17+'Czech Republic'!Q$20+France!Q$30+France!Q$31+France!Q$34+France!Q$35+France!Q$36+France!Q$37</f>
        <v>0</v>
      </c>
      <c r="R43" s="54">
        <f>Belgium!R$19+Denmark!R$26+Germany!R$25+Italy!R$28+Poland!R$24+Spain!R$15+Spain!R$16+Switzerland!R$23+Switzerland!R$25+Switzerland!R$27+Netherlands!R$14+UK!R$18+'Czech Republic'!R$17+'Czech Republic'!R$20+France!R$30+France!R$31+France!R$34+France!R$35+France!R$36+France!R$37</f>
        <v>129</v>
      </c>
      <c r="S43" s="54">
        <f>Belgium!S$19+Denmark!S$26+Germany!S$25+Italy!S$28+Poland!S$24+Spain!S$15+Spain!S$16+Switzerland!S$23+Switzerland!S$25+Switzerland!S$27+Netherlands!S$14+UK!S$18+'Czech Republic'!S$17+'Czech Republic'!S$20+France!S$31+France!S$32+France!S$35+France!S$36+France!S$37+France!S$38</f>
        <v>145.68165262076812</v>
      </c>
      <c r="T43" s="54">
        <f>Belgium!T$19+Denmark!T$26+Germany!T$25+Italy!T$28+Poland!T$24+Spain!T$15+Spain!T$16+Switzerland!T$23+Switzerland!T$25+Switzerland!T$27+Netherlands!T$14+UK!T$18+'Czech Republic'!T$17+'Czech Republic'!T$20+France!T$31+France!T$32+France!T$35+France!T$36+France!T$37+France!T$38</f>
        <v>63</v>
      </c>
      <c r="U43" s="61">
        <f>Belgium!U$19+Denmark!U$26+Germany!U$25+Italy!U$28+Poland!U$24+Spain!U$15+Spain!U$16+Switzerland!U$23+Switzerland!U$25+Switzerland!U$27+Netherlands!U$14+UK!U$18+'Czech Republic'!U$17+'Czech Republic'!U$20</f>
        <v>0</v>
      </c>
    </row>
    <row r="44" spans="1:21" s="47" customFormat="1" ht="13.8" thickBot="1" x14ac:dyDescent="0.3">
      <c r="A44" s="55" t="s">
        <v>93</v>
      </c>
      <c r="B44" s="80">
        <f t="shared" si="3"/>
        <v>-0.28431843245221933</v>
      </c>
      <c r="C44" s="133">
        <v>-23027.73042275447</v>
      </c>
      <c r="D44" s="89">
        <v>-35068.295831548261</v>
      </c>
      <c r="E44" s="108">
        <f>SUM(E36:E43)</f>
        <v>25911.297077245526</v>
      </c>
      <c r="F44" s="89">
        <f>SUM(F36:F43)</f>
        <v>36205.06416845174</v>
      </c>
      <c r="G44" s="89">
        <f>SUM(G36:G43)</f>
        <v>24264.014002518728</v>
      </c>
      <c r="H44" s="89">
        <f>SUM(H36:H43)</f>
        <v>27535.374125305592</v>
      </c>
      <c r="I44" s="89">
        <f>SUM(I36:I43)</f>
        <v>21681.591394242234</v>
      </c>
      <c r="J44" s="89">
        <f t="shared" ref="J44:O44" si="4">SUM(J36:J43)</f>
        <v>15021</v>
      </c>
      <c r="K44" s="89">
        <f t="shared" si="4"/>
        <v>22886</v>
      </c>
      <c r="L44" s="89">
        <f t="shared" si="4"/>
        <v>13993</v>
      </c>
      <c r="M44" s="75">
        <f t="shared" si="4"/>
        <v>19759</v>
      </c>
      <c r="N44" s="75">
        <f t="shared" si="4"/>
        <v>15649</v>
      </c>
      <c r="O44" s="75">
        <f t="shared" si="4"/>
        <v>12264.119169541305</v>
      </c>
      <c r="P44" s="75">
        <f t="shared" ref="P44:U44" si="5">SUM(P36:P43)</f>
        <v>9421.4169156402404</v>
      </c>
      <c r="Q44" s="75">
        <f t="shared" si="5"/>
        <v>1702.6172171839191</v>
      </c>
      <c r="R44" s="75">
        <f t="shared" si="5"/>
        <v>13272</v>
      </c>
      <c r="S44" s="75">
        <f t="shared" si="5"/>
        <v>9343.9684610957447</v>
      </c>
      <c r="T44" s="75">
        <f t="shared" si="5"/>
        <v>7440.0473453867335</v>
      </c>
      <c r="U44" s="76">
        <f t="shared" si="5"/>
        <v>1066</v>
      </c>
    </row>
    <row r="45" spans="1:21" s="47" customFormat="1" x14ac:dyDescent="0.25">
      <c r="B45" s="3" t="s">
        <v>173</v>
      </c>
    </row>
    <row r="46" spans="1:21" s="47" customFormat="1" x14ac:dyDescent="0.25"/>
    <row r="47" spans="1:21" s="47" customFormat="1" x14ac:dyDescent="0.25">
      <c r="D47" s="51"/>
      <c r="E47" s="51"/>
    </row>
    <row r="52" spans="6:6" x14ac:dyDescent="0.25">
      <c r="F52" s="1"/>
    </row>
  </sheetData>
  <phoneticPr fontId="2" type="noConversion"/>
  <conditionalFormatting sqref="E1">
    <cfRule type="expression" dxfId="26" priority="2">
      <formula>ISBLANK(XFD1)=FALSE</formula>
    </cfRule>
  </conditionalFormatting>
  <conditionalFormatting sqref="E35">
    <cfRule type="expression" dxfId="25" priority="1">
      <formula>ISBLANK(XFD35)=FALSE</formula>
    </cfRule>
  </conditionalFormatting>
  <pageMargins left="0.75" right="0.75" top="1" bottom="1" header="0.5" footer="0.5"/>
  <pageSetup paperSize="9" fitToHeight="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Normal="100" workbookViewId="0"/>
  </sheetViews>
  <sheetFormatPr defaultColWidth="9.109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3" width="10.109375" bestFit="1" customWidth="1"/>
  </cols>
  <sheetData>
    <row r="1" spans="1:23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3" x14ac:dyDescent="0.25">
      <c r="A2" s="20" t="s">
        <v>95</v>
      </c>
      <c r="B2" s="26" t="str">
        <f t="shared" ref="B2:B21" si="0">IFERROR(((E2-F2)/F2),"")</f>
        <v/>
      </c>
      <c r="C2" s="45">
        <v>0</v>
      </c>
      <c r="D2" s="1">
        <v>-2.0408163265306123</v>
      </c>
      <c r="E2" s="106">
        <v>0</v>
      </c>
      <c r="F2" s="1">
        <v>0</v>
      </c>
      <c r="G2" s="1">
        <v>240.21739130434781</v>
      </c>
      <c r="H2" s="1">
        <v>0</v>
      </c>
      <c r="I2" s="1">
        <v>0</v>
      </c>
      <c r="J2" s="1">
        <v>0</v>
      </c>
      <c r="K2" s="37">
        <v>239</v>
      </c>
      <c r="L2" s="1"/>
      <c r="M2" s="1"/>
      <c r="N2" s="1">
        <v>143</v>
      </c>
      <c r="O2" s="1">
        <v>157</v>
      </c>
      <c r="P2" s="1">
        <v>729</v>
      </c>
      <c r="Q2" s="1"/>
      <c r="R2" s="1">
        <v>415</v>
      </c>
      <c r="S2" s="1">
        <v>341</v>
      </c>
      <c r="T2" s="1">
        <v>619</v>
      </c>
      <c r="U2" s="1">
        <v>2116</v>
      </c>
      <c r="V2" s="1">
        <v>107</v>
      </c>
      <c r="W2" s="28">
        <v>901</v>
      </c>
    </row>
    <row r="3" spans="1:23" x14ac:dyDescent="0.25">
      <c r="A3" s="20" t="s">
        <v>4</v>
      </c>
      <c r="B3" s="26" t="str">
        <f t="shared" si="0"/>
        <v/>
      </c>
      <c r="C3" s="45">
        <v>0</v>
      </c>
      <c r="D3" s="1">
        <v>0</v>
      </c>
      <c r="E3" s="106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37"/>
      <c r="L3" s="1"/>
      <c r="M3" s="1"/>
      <c r="N3" s="1">
        <v>0</v>
      </c>
      <c r="O3" s="1">
        <v>0</v>
      </c>
      <c r="P3" s="1">
        <v>0</v>
      </c>
      <c r="Q3" s="1"/>
      <c r="R3" s="1">
        <v>0</v>
      </c>
      <c r="S3" s="1">
        <v>0</v>
      </c>
      <c r="T3" s="1">
        <v>0</v>
      </c>
      <c r="U3" s="1">
        <v>0</v>
      </c>
      <c r="V3" s="1">
        <v>0</v>
      </c>
      <c r="W3" s="28">
        <v>0</v>
      </c>
    </row>
    <row r="4" spans="1:23" x14ac:dyDescent="0.25">
      <c r="A4" s="20" t="s">
        <v>11</v>
      </c>
      <c r="B4" s="26">
        <f t="shared" si="0"/>
        <v>23.862538427755823</v>
      </c>
      <c r="C4" s="45">
        <v>-552.84943961635668</v>
      </c>
      <c r="D4" s="1">
        <v>-381.54911087241913</v>
      </c>
      <c r="E4" s="106">
        <v>601.93514088250936</v>
      </c>
      <c r="F4" s="1">
        <v>24.210526315789473</v>
      </c>
      <c r="G4" s="1">
        <v>1545.8607817303468</v>
      </c>
      <c r="H4" s="1">
        <v>650.64778216952141</v>
      </c>
      <c r="I4" s="1">
        <v>5.25</v>
      </c>
      <c r="J4" s="1">
        <v>167</v>
      </c>
      <c r="K4" s="37">
        <v>2795</v>
      </c>
      <c r="L4" s="1">
        <v>4</v>
      </c>
      <c r="M4" s="1"/>
      <c r="N4" s="1">
        <v>298</v>
      </c>
      <c r="O4" s="1">
        <v>0</v>
      </c>
      <c r="P4" s="1">
        <v>602</v>
      </c>
      <c r="Q4" s="1"/>
      <c r="R4" s="1">
        <v>18</v>
      </c>
      <c r="S4" s="1">
        <v>0</v>
      </c>
      <c r="T4" s="1">
        <v>47</v>
      </c>
      <c r="U4" s="1">
        <v>0</v>
      </c>
      <c r="V4" s="1">
        <v>0</v>
      </c>
      <c r="W4" s="28">
        <v>0</v>
      </c>
    </row>
    <row r="5" spans="1:23" x14ac:dyDescent="0.25">
      <c r="A5" s="20" t="s">
        <v>2</v>
      </c>
      <c r="B5" s="26" t="str">
        <f t="shared" si="0"/>
        <v/>
      </c>
      <c r="C5" s="45">
        <v>0</v>
      </c>
      <c r="D5" s="1">
        <v>-5.5555555555555554</v>
      </c>
      <c r="E5" s="106">
        <v>0</v>
      </c>
      <c r="F5" s="1">
        <v>0</v>
      </c>
      <c r="G5" s="1">
        <v>90.217391304347828</v>
      </c>
      <c r="H5" s="1">
        <v>0</v>
      </c>
      <c r="I5" s="1">
        <v>0</v>
      </c>
      <c r="J5" s="1">
        <v>0</v>
      </c>
      <c r="K5" s="37">
        <v>200</v>
      </c>
      <c r="L5" s="1"/>
      <c r="M5" s="1"/>
      <c r="N5" s="1">
        <v>0</v>
      </c>
      <c r="O5" s="1">
        <v>2</v>
      </c>
      <c r="P5" s="1">
        <v>23</v>
      </c>
      <c r="Q5" s="1"/>
      <c r="R5" s="1">
        <v>8</v>
      </c>
      <c r="S5" s="1">
        <v>5</v>
      </c>
      <c r="T5" s="1">
        <v>28</v>
      </c>
      <c r="U5" s="1">
        <v>0</v>
      </c>
      <c r="V5" s="1">
        <v>0</v>
      </c>
      <c r="W5" s="28">
        <v>6</v>
      </c>
    </row>
    <row r="6" spans="1:23" x14ac:dyDescent="0.25">
      <c r="A6" s="20" t="s">
        <v>152</v>
      </c>
      <c r="B6" s="26">
        <f t="shared" si="0"/>
        <v>-0.75</v>
      </c>
      <c r="C6" s="45">
        <v>-82.865497076023388</v>
      </c>
      <c r="D6" s="1">
        <v>-462.57309941520469</v>
      </c>
      <c r="E6" s="106">
        <v>11.578947368421053</v>
      </c>
      <c r="F6" s="1">
        <v>46.315789473684212</v>
      </c>
      <c r="G6" s="1">
        <v>1661.9565217391305</v>
      </c>
      <c r="H6" s="1">
        <v>283.69565217391306</v>
      </c>
      <c r="I6" s="1">
        <v>1222</v>
      </c>
      <c r="J6" s="1">
        <v>50</v>
      </c>
      <c r="K6" s="37">
        <v>3244</v>
      </c>
      <c r="L6" s="1">
        <v>5</v>
      </c>
      <c r="M6" s="1">
        <v>9</v>
      </c>
      <c r="N6" s="1">
        <v>872</v>
      </c>
      <c r="O6" s="1">
        <v>1107</v>
      </c>
      <c r="P6" s="1">
        <v>1031</v>
      </c>
      <c r="Q6" s="1">
        <v>27</v>
      </c>
      <c r="R6" s="1">
        <v>66</v>
      </c>
      <c r="S6" s="1"/>
      <c r="T6" s="1"/>
      <c r="U6" s="1"/>
      <c r="V6" s="1"/>
      <c r="W6" s="28"/>
    </row>
    <row r="7" spans="1:23" x14ac:dyDescent="0.25">
      <c r="A7" s="20" t="s">
        <v>12</v>
      </c>
      <c r="B7" s="26">
        <f t="shared" si="0"/>
        <v>-0.26782608695652182</v>
      </c>
      <c r="C7" s="45">
        <v>-367.953216374269</v>
      </c>
      <c r="D7" s="1">
        <v>-310.29239766081866</v>
      </c>
      <c r="E7" s="106">
        <v>443.15789473684208</v>
      </c>
      <c r="F7" s="1">
        <v>605.26315789473688</v>
      </c>
      <c r="G7" s="1">
        <v>429.3478260869565</v>
      </c>
      <c r="H7" s="1">
        <v>338.04347826086956</v>
      </c>
      <c r="I7" s="1">
        <v>15.6</v>
      </c>
      <c r="J7" s="1">
        <v>143</v>
      </c>
      <c r="K7" s="37">
        <v>1206</v>
      </c>
      <c r="L7" s="1">
        <v>46</v>
      </c>
      <c r="M7" s="71"/>
      <c r="N7" s="71">
        <v>38</v>
      </c>
      <c r="O7" s="71">
        <v>56</v>
      </c>
      <c r="P7" s="71">
        <v>472</v>
      </c>
      <c r="Q7" s="71"/>
      <c r="R7" s="71">
        <v>38</v>
      </c>
      <c r="S7" s="71">
        <v>0</v>
      </c>
      <c r="T7" s="71">
        <v>52</v>
      </c>
      <c r="U7" s="71">
        <v>51</v>
      </c>
      <c r="V7" s="1">
        <v>0</v>
      </c>
      <c r="W7" s="28">
        <v>0</v>
      </c>
    </row>
    <row r="8" spans="1:23" x14ac:dyDescent="0.25">
      <c r="A8" s="20" t="s">
        <v>9</v>
      </c>
      <c r="B8" s="26">
        <f t="shared" si="0"/>
        <v>-0.86560256372754552</v>
      </c>
      <c r="C8" s="45">
        <v>-533.50421508316253</v>
      </c>
      <c r="D8" s="1">
        <v>-2949.7823563237098</v>
      </c>
      <c r="E8" s="106">
        <v>439.67038809144071</v>
      </c>
      <c r="F8" s="1">
        <v>3271.4194577352473</v>
      </c>
      <c r="G8" s="1">
        <v>2818.6978480456742</v>
      </c>
      <c r="H8" s="1">
        <v>3135.4743083003955</v>
      </c>
      <c r="I8" s="1">
        <v>1838.15</v>
      </c>
      <c r="J8" s="1">
        <v>176</v>
      </c>
      <c r="K8" s="37">
        <v>2008</v>
      </c>
      <c r="L8" s="1">
        <v>44</v>
      </c>
      <c r="M8" s="1"/>
      <c r="N8" s="1">
        <v>141</v>
      </c>
      <c r="O8" s="1">
        <v>490</v>
      </c>
      <c r="P8" s="1">
        <v>1966</v>
      </c>
      <c r="Q8" s="1"/>
      <c r="R8" s="1">
        <v>61</v>
      </c>
      <c r="S8" s="1">
        <v>1413</v>
      </c>
      <c r="T8" s="1">
        <v>105</v>
      </c>
      <c r="U8" s="1">
        <v>1681</v>
      </c>
      <c r="V8" s="1">
        <v>0</v>
      </c>
      <c r="W8" s="28">
        <v>9</v>
      </c>
    </row>
    <row r="9" spans="1:23" x14ac:dyDescent="0.25">
      <c r="A9" s="20" t="s">
        <v>14</v>
      </c>
      <c r="B9" s="123" t="str">
        <f t="shared" si="0"/>
        <v/>
      </c>
      <c r="C9" s="77">
        <v>0</v>
      </c>
      <c r="D9" s="1">
        <v>0</v>
      </c>
      <c r="E9" s="106"/>
      <c r="F9" s="1"/>
      <c r="G9" s="1"/>
      <c r="H9" s="1"/>
      <c r="I9" s="1"/>
      <c r="J9" s="1"/>
      <c r="K9" s="37"/>
      <c r="L9" s="1"/>
      <c r="M9" s="1"/>
      <c r="N9" s="1"/>
      <c r="O9" s="1"/>
      <c r="P9" s="1"/>
      <c r="Q9" s="1"/>
      <c r="R9" s="1">
        <v>0</v>
      </c>
      <c r="S9" s="1">
        <v>0</v>
      </c>
      <c r="T9" s="1">
        <v>0</v>
      </c>
      <c r="U9" s="1">
        <v>0</v>
      </c>
      <c r="V9" s="1">
        <v>0</v>
      </c>
      <c r="W9" s="28">
        <v>2</v>
      </c>
    </row>
    <row r="10" spans="1:23" x14ac:dyDescent="0.25">
      <c r="A10" s="20" t="s">
        <v>3</v>
      </c>
      <c r="B10" s="123">
        <f t="shared" si="0"/>
        <v>-0.72571390765341848</v>
      </c>
      <c r="C10" s="77">
        <v>-1739.0302596317633</v>
      </c>
      <c r="D10" s="1">
        <v>-2245.0421508316267</v>
      </c>
      <c r="E10" s="106">
        <v>2556.661350345561</v>
      </c>
      <c r="F10" s="1">
        <v>9321.1483253588503</v>
      </c>
      <c r="G10" s="1">
        <v>5112.022397891963</v>
      </c>
      <c r="H10" s="1">
        <v>8539.8660518225734</v>
      </c>
      <c r="I10" s="1">
        <v>14682.699999999999</v>
      </c>
      <c r="J10" s="1">
        <v>6123</v>
      </c>
      <c r="K10" s="37">
        <v>9571</v>
      </c>
      <c r="L10" s="1">
        <v>3992</v>
      </c>
      <c r="M10" s="1">
        <v>3724</v>
      </c>
      <c r="N10" s="1">
        <v>15870</v>
      </c>
      <c r="O10" s="1">
        <v>15331</v>
      </c>
      <c r="P10" s="1">
        <v>8752</v>
      </c>
      <c r="Q10" s="1">
        <v>9064</v>
      </c>
      <c r="R10" s="1">
        <v>15716</v>
      </c>
      <c r="S10" s="1">
        <v>9113</v>
      </c>
      <c r="T10" s="1">
        <v>13338</v>
      </c>
      <c r="U10" s="1">
        <v>20340</v>
      </c>
      <c r="V10" s="1">
        <v>10704</v>
      </c>
      <c r="W10" s="28">
        <v>9608</v>
      </c>
    </row>
    <row r="11" spans="1:23" x14ac:dyDescent="0.25">
      <c r="A11" s="20" t="s">
        <v>17</v>
      </c>
      <c r="B11" s="123" t="str">
        <f t="shared" si="0"/>
        <v/>
      </c>
      <c r="C11" s="77">
        <v>-4.4444444444444429</v>
      </c>
      <c r="D11" s="1">
        <v>-34.444444444444443</v>
      </c>
      <c r="E11" s="106">
        <v>40</v>
      </c>
      <c r="F11" s="1">
        <v>0</v>
      </c>
      <c r="G11" s="1">
        <v>3.2608695652173911</v>
      </c>
      <c r="H11" s="1">
        <v>2.1739130434782608</v>
      </c>
      <c r="I11" s="1">
        <v>0</v>
      </c>
      <c r="J11" s="1">
        <v>0</v>
      </c>
      <c r="K11" s="37">
        <v>1</v>
      </c>
      <c r="L11" s="1"/>
      <c r="M11" s="71"/>
      <c r="N11" s="71">
        <v>0</v>
      </c>
      <c r="O11" s="71">
        <v>0</v>
      </c>
      <c r="P11" s="71">
        <v>0</v>
      </c>
      <c r="Q11" s="71"/>
      <c r="R11" s="71">
        <v>0</v>
      </c>
      <c r="S11" s="71">
        <v>0</v>
      </c>
      <c r="T11" s="71">
        <v>0</v>
      </c>
      <c r="U11" s="71">
        <v>0</v>
      </c>
      <c r="V11" s="1">
        <v>0</v>
      </c>
      <c r="W11" s="28">
        <v>0</v>
      </c>
    </row>
    <row r="12" spans="1:23" x14ac:dyDescent="0.25">
      <c r="A12" s="21" t="s">
        <v>10</v>
      </c>
      <c r="B12" s="123">
        <f t="shared" si="0"/>
        <v>-0.93427918341609517</v>
      </c>
      <c r="C12" s="77">
        <v>-147.32784341806899</v>
      </c>
      <c r="D12" s="1">
        <v>-509.48659527606901</v>
      </c>
      <c r="E12" s="106">
        <v>44.327485380116954</v>
      </c>
      <c r="F12" s="1">
        <v>674.48165869218496</v>
      </c>
      <c r="G12" s="1">
        <v>2682.6306543697847</v>
      </c>
      <c r="H12" s="1">
        <v>2266.4251207729471</v>
      </c>
      <c r="I12" s="1">
        <v>2845.8</v>
      </c>
      <c r="J12" s="1">
        <v>2048</v>
      </c>
      <c r="K12" s="37">
        <v>5843</v>
      </c>
      <c r="L12" s="1">
        <v>298</v>
      </c>
      <c r="M12" s="71">
        <v>10</v>
      </c>
      <c r="N12" s="71">
        <v>7372</v>
      </c>
      <c r="O12" s="71">
        <v>1957</v>
      </c>
      <c r="P12" s="71">
        <v>11829</v>
      </c>
      <c r="Q12" s="71">
        <v>3943</v>
      </c>
      <c r="R12" s="71">
        <v>4733</v>
      </c>
      <c r="S12" s="71">
        <v>4070</v>
      </c>
      <c r="T12" s="71">
        <v>4381</v>
      </c>
      <c r="U12" s="71">
        <v>4479</v>
      </c>
      <c r="V12" s="1">
        <v>851</v>
      </c>
      <c r="W12" s="28">
        <v>769</v>
      </c>
    </row>
    <row r="13" spans="1:23" x14ac:dyDescent="0.25">
      <c r="A13" s="21" t="s">
        <v>26</v>
      </c>
      <c r="B13" s="123">
        <f t="shared" si="0"/>
        <v>0.51702786377708976</v>
      </c>
      <c r="C13" s="77">
        <v>-557.09034490989382</v>
      </c>
      <c r="D13" s="1">
        <v>-300.02267573696145</v>
      </c>
      <c r="E13" s="106">
        <v>515.78947368421052</v>
      </c>
      <c r="F13" s="1">
        <v>340</v>
      </c>
      <c r="G13" s="1">
        <v>2027.5911286780852</v>
      </c>
      <c r="H13" s="1">
        <v>1398.6824769433465</v>
      </c>
      <c r="I13" s="1">
        <v>569.04999999999995</v>
      </c>
      <c r="J13" s="1">
        <v>1259</v>
      </c>
      <c r="K13" s="37">
        <v>4593</v>
      </c>
      <c r="L13" s="1">
        <v>396</v>
      </c>
      <c r="M13" s="71">
        <v>15</v>
      </c>
      <c r="N13" s="71">
        <v>3383</v>
      </c>
      <c r="O13" s="71">
        <v>1989</v>
      </c>
      <c r="P13" s="71">
        <v>4102</v>
      </c>
      <c r="Q13" s="71">
        <v>2392</v>
      </c>
      <c r="R13" s="71">
        <v>2340</v>
      </c>
      <c r="S13" s="71">
        <v>3051</v>
      </c>
      <c r="T13" s="71">
        <v>3039</v>
      </c>
      <c r="U13" s="71">
        <v>2011</v>
      </c>
      <c r="V13" s="1">
        <v>1095</v>
      </c>
      <c r="W13" s="28">
        <v>2686</v>
      </c>
    </row>
    <row r="14" spans="1:23" x14ac:dyDescent="0.25">
      <c r="A14" s="20" t="s">
        <v>25</v>
      </c>
      <c r="B14" s="123" t="str">
        <f t="shared" si="0"/>
        <v/>
      </c>
      <c r="C14" s="77">
        <v>0</v>
      </c>
      <c r="D14" s="1">
        <v>0</v>
      </c>
      <c r="E14" s="106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37"/>
      <c r="L14" s="1"/>
      <c r="M14" s="71"/>
      <c r="N14" s="71">
        <v>1155</v>
      </c>
      <c r="O14" s="71">
        <v>897</v>
      </c>
      <c r="P14" s="71">
        <v>1869</v>
      </c>
      <c r="Q14" s="71">
        <v>803</v>
      </c>
      <c r="R14" s="71">
        <v>846</v>
      </c>
      <c r="S14" s="71">
        <v>938</v>
      </c>
      <c r="T14" s="71">
        <v>2437</v>
      </c>
      <c r="U14" s="71">
        <v>1435</v>
      </c>
      <c r="V14" s="1">
        <v>925</v>
      </c>
      <c r="W14" s="28">
        <v>1867</v>
      </c>
    </row>
    <row r="15" spans="1:23" x14ac:dyDescent="0.25">
      <c r="A15" s="20" t="s">
        <v>96</v>
      </c>
      <c r="B15" s="123" t="str">
        <f t="shared" si="0"/>
        <v/>
      </c>
      <c r="C15" s="77">
        <v>-7.7777777777777777</v>
      </c>
      <c r="D15" s="1">
        <v>0</v>
      </c>
      <c r="E15" s="106">
        <v>0</v>
      </c>
      <c r="F15" s="1">
        <v>0</v>
      </c>
      <c r="G15" s="1">
        <v>0</v>
      </c>
      <c r="H15" s="1">
        <v>0</v>
      </c>
      <c r="I15" s="1">
        <v>0</v>
      </c>
      <c r="J15" s="1">
        <v>52</v>
      </c>
      <c r="K15" s="37"/>
      <c r="L15" s="1"/>
      <c r="M15" s="71"/>
      <c r="N15" s="71">
        <v>0</v>
      </c>
      <c r="O15" s="71">
        <v>0</v>
      </c>
      <c r="P15" s="71">
        <v>0</v>
      </c>
      <c r="Q15" s="71"/>
      <c r="R15" s="71">
        <v>0</v>
      </c>
      <c r="S15" s="71">
        <v>0</v>
      </c>
      <c r="T15" s="71">
        <v>0</v>
      </c>
      <c r="U15" s="71">
        <v>0</v>
      </c>
      <c r="V15" s="1">
        <v>0</v>
      </c>
      <c r="W15" s="28">
        <v>0</v>
      </c>
    </row>
    <row r="16" spans="1:23" x14ac:dyDescent="0.25">
      <c r="A16" s="20" t="s">
        <v>13</v>
      </c>
      <c r="B16" s="123">
        <f t="shared" si="0"/>
        <v>-0.85611510791366907</v>
      </c>
      <c r="C16" s="77">
        <v>-351.16959064327489</v>
      </c>
      <c r="D16" s="1">
        <v>-555.90643274853801</v>
      </c>
      <c r="E16" s="106">
        <v>21.05263157894737</v>
      </c>
      <c r="F16" s="1">
        <v>146.31578947368422</v>
      </c>
      <c r="G16" s="1">
        <v>1755.1054018445323</v>
      </c>
      <c r="H16" s="1">
        <v>655.61045234958272</v>
      </c>
      <c r="I16" s="1">
        <v>3.9</v>
      </c>
      <c r="J16" s="1">
        <v>1</v>
      </c>
      <c r="K16" s="37">
        <v>449</v>
      </c>
      <c r="L16" s="1">
        <v>1</v>
      </c>
      <c r="M16" s="71">
        <v>9</v>
      </c>
      <c r="N16" s="71">
        <v>598</v>
      </c>
      <c r="O16" s="71">
        <v>4</v>
      </c>
      <c r="P16" s="71">
        <v>153</v>
      </c>
      <c r="Q16" s="71">
        <v>28</v>
      </c>
      <c r="R16" s="71">
        <v>49</v>
      </c>
      <c r="S16" s="71">
        <v>166</v>
      </c>
      <c r="T16" s="71">
        <v>17</v>
      </c>
      <c r="U16" s="71">
        <v>71</v>
      </c>
      <c r="V16" s="1">
        <v>55</v>
      </c>
      <c r="W16" s="28">
        <v>1</v>
      </c>
    </row>
    <row r="17" spans="1:24" x14ac:dyDescent="0.25">
      <c r="A17" s="64" t="s">
        <v>134</v>
      </c>
      <c r="B17" s="123">
        <f t="shared" si="0"/>
        <v>-0.64901477832512311</v>
      </c>
      <c r="C17" s="77">
        <v>-91.111111111111086</v>
      </c>
      <c r="D17" s="1">
        <v>-351.92982456140362</v>
      </c>
      <c r="E17" s="106">
        <v>300</v>
      </c>
      <c r="F17" s="1">
        <v>854.73684210526312</v>
      </c>
      <c r="G17" s="1">
        <v>2683.3223539745277</v>
      </c>
      <c r="H17" s="1">
        <v>822.82608695652175</v>
      </c>
      <c r="I17" s="1">
        <v>902.75</v>
      </c>
      <c r="J17" s="1">
        <v>1107</v>
      </c>
      <c r="K17" s="37">
        <v>1370</v>
      </c>
      <c r="L17" s="1">
        <v>243</v>
      </c>
      <c r="M17" s="71"/>
      <c r="N17" s="71"/>
      <c r="O17" s="71"/>
      <c r="P17" s="71"/>
      <c r="Q17" s="71"/>
      <c r="R17" s="71"/>
      <c r="S17" s="71"/>
      <c r="T17" s="71"/>
      <c r="U17" s="71"/>
      <c r="V17" s="1"/>
      <c r="W17" s="28"/>
    </row>
    <row r="18" spans="1:24" x14ac:dyDescent="0.25">
      <c r="A18" s="20" t="s">
        <v>97</v>
      </c>
      <c r="B18" s="123" t="str">
        <f t="shared" si="0"/>
        <v/>
      </c>
      <c r="C18" s="77">
        <v>0</v>
      </c>
      <c r="D18" s="1">
        <v>0</v>
      </c>
      <c r="E18" s="106"/>
      <c r="F18" s="1"/>
      <c r="G18" s="1"/>
      <c r="H18" s="1"/>
      <c r="I18" s="1">
        <v>0</v>
      </c>
      <c r="J18" s="1">
        <v>0</v>
      </c>
      <c r="K18" s="37"/>
      <c r="L18" s="1"/>
      <c r="M18" s="1"/>
      <c r="N18" s="1">
        <v>0</v>
      </c>
      <c r="O18" s="1">
        <v>0</v>
      </c>
      <c r="P18" s="1">
        <v>0</v>
      </c>
      <c r="Q18" s="1"/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28">
        <v>0</v>
      </c>
    </row>
    <row r="19" spans="1:24" x14ac:dyDescent="0.25">
      <c r="A19" s="20" t="s">
        <v>98</v>
      </c>
      <c r="B19" s="26" t="str">
        <f t="shared" si="0"/>
        <v/>
      </c>
      <c r="C19" s="45">
        <v>-9.2846835703978563</v>
      </c>
      <c r="D19" s="1">
        <v>-4.0816326530612246</v>
      </c>
      <c r="E19" s="106">
        <v>1.0101010101010102</v>
      </c>
      <c r="F19" s="1">
        <v>0</v>
      </c>
      <c r="G19" s="1">
        <v>169.2907334211682</v>
      </c>
      <c r="H19" s="1">
        <v>5.0505050505050502</v>
      </c>
      <c r="I19" s="1">
        <v>0</v>
      </c>
      <c r="J19" s="1">
        <v>0</v>
      </c>
      <c r="K19" s="37">
        <v>1527</v>
      </c>
      <c r="L19" s="1"/>
      <c r="M19" s="1"/>
      <c r="N19" s="1">
        <v>58</v>
      </c>
      <c r="O19" s="1">
        <v>74</v>
      </c>
      <c r="P19" s="1">
        <v>296</v>
      </c>
      <c r="Q19" s="1"/>
      <c r="R19" s="1">
        <v>94</v>
      </c>
      <c r="S19" s="1">
        <v>0</v>
      </c>
      <c r="T19" s="1">
        <v>74</v>
      </c>
      <c r="U19" s="1">
        <v>0</v>
      </c>
      <c r="V19" s="1">
        <v>0</v>
      </c>
      <c r="W19" s="28">
        <v>0</v>
      </c>
    </row>
    <row r="20" spans="1:24" ht="13.8" thickBot="1" x14ac:dyDescent="0.3">
      <c r="A20" s="22" t="s">
        <v>59</v>
      </c>
      <c r="B20" s="27">
        <f t="shared" si="0"/>
        <v>-0.88613297150610593</v>
      </c>
      <c r="C20" s="46">
        <v>-345.68585967082208</v>
      </c>
      <c r="D20" s="10">
        <v>-858.10836615347898</v>
      </c>
      <c r="E20" s="106">
        <v>66.921850079744814</v>
      </c>
      <c r="F20" s="10">
        <v>587.71929824561403</v>
      </c>
      <c r="G20" s="10">
        <v>1482.3781291172595</v>
      </c>
      <c r="H20" s="10">
        <v>535.78173034694782</v>
      </c>
      <c r="I20" s="10">
        <v>794.05</v>
      </c>
      <c r="J20" s="10">
        <v>244</v>
      </c>
      <c r="K20" s="36">
        <v>538</v>
      </c>
      <c r="L20" s="10"/>
      <c r="M20" s="10"/>
      <c r="N20" s="72">
        <v>0</v>
      </c>
      <c r="O20" s="72">
        <v>80</v>
      </c>
      <c r="P20" s="72">
        <v>430</v>
      </c>
      <c r="Q20" s="72">
        <v>6</v>
      </c>
      <c r="R20" s="72">
        <v>65</v>
      </c>
      <c r="S20" s="72">
        <v>239</v>
      </c>
      <c r="T20" s="72">
        <v>0</v>
      </c>
      <c r="U20" s="72">
        <v>6</v>
      </c>
      <c r="V20" s="10">
        <v>0</v>
      </c>
      <c r="W20" s="30">
        <v>0</v>
      </c>
    </row>
    <row r="21" spans="1:24" ht="13.8" thickBot="1" x14ac:dyDescent="0.3">
      <c r="A21" s="31" t="s">
        <v>22</v>
      </c>
      <c r="B21" s="32">
        <f t="shared" si="0"/>
        <v>-0.6823192483545194</v>
      </c>
      <c r="C21" s="124">
        <v>-4790.0942833273675</v>
      </c>
      <c r="D21" s="33">
        <v>-8970.8154585598222</v>
      </c>
      <c r="E21" s="108">
        <f t="shared" ref="E21" si="1">SUM(E2:E20)</f>
        <v>5042.105263157895</v>
      </c>
      <c r="F21" s="33">
        <f t="shared" ref="F21:L21" si="2">SUM(F2:F20)</f>
        <v>15871.610845295056</v>
      </c>
      <c r="G21" s="33">
        <f t="shared" si="2"/>
        <v>22701.899429073343</v>
      </c>
      <c r="H21" s="33">
        <f t="shared" si="2"/>
        <v>18634.277558190599</v>
      </c>
      <c r="I21" s="33">
        <f t="shared" si="2"/>
        <v>22879.249999999996</v>
      </c>
      <c r="J21" s="33">
        <f t="shared" si="2"/>
        <v>11370</v>
      </c>
      <c r="K21" s="33">
        <f t="shared" si="2"/>
        <v>33584</v>
      </c>
      <c r="L21" s="33">
        <f t="shared" si="2"/>
        <v>5029</v>
      </c>
      <c r="M21" s="33">
        <v>3767</v>
      </c>
      <c r="N21" s="33">
        <f>SUM(N2:N20)</f>
        <v>29928</v>
      </c>
      <c r="O21" s="33">
        <f>SUM(O2:O20)</f>
        <v>22144</v>
      </c>
      <c r="P21" s="33">
        <f>SUM(P2:P20)</f>
        <v>32254</v>
      </c>
      <c r="Q21" s="33">
        <f>SUM(Q2:Q20)</f>
        <v>16263</v>
      </c>
      <c r="R21" s="33">
        <f t="shared" ref="R21:W21" si="3">SUM(R2:R20)</f>
        <v>24449</v>
      </c>
      <c r="S21" s="33">
        <f t="shared" si="3"/>
        <v>19336</v>
      </c>
      <c r="T21" s="33">
        <f t="shared" si="3"/>
        <v>24137</v>
      </c>
      <c r="U21" s="33">
        <f t="shared" si="3"/>
        <v>32190</v>
      </c>
      <c r="V21" s="33">
        <f t="shared" si="3"/>
        <v>13737</v>
      </c>
      <c r="W21" s="34">
        <f t="shared" si="3"/>
        <v>15849</v>
      </c>
    </row>
    <row r="22" spans="1:24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6"/>
      <c r="W37" s="1"/>
      <c r="X37" s="1"/>
    </row>
    <row r="38" spans="22:24" ht="18" x14ac:dyDescent="0.35">
      <c r="V38" s="7"/>
      <c r="W38" s="2"/>
      <c r="X38" s="2"/>
    </row>
  </sheetData>
  <conditionalFormatting sqref="E1">
    <cfRule type="expression" dxfId="24" priority="1">
      <formula>ISBLANK(XFD1)=FALSE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workbookViewId="0"/>
  </sheetViews>
  <sheetFormatPr defaultColWidth="9.109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44140625" customWidth="1"/>
    <col min="12" max="12" width="11.109375" customWidth="1"/>
    <col min="13" max="23" width="10.109375" bestFit="1" customWidth="1"/>
  </cols>
  <sheetData>
    <row r="1" spans="1:23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112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3" x14ac:dyDescent="0.25">
      <c r="A2" s="20" t="s">
        <v>4</v>
      </c>
      <c r="B2" s="26" t="str">
        <f t="shared" ref="B2:B10" si="0">IFERROR(((E2-F2)/F2),"")</f>
        <v/>
      </c>
      <c r="C2" s="45">
        <v>0</v>
      </c>
      <c r="D2" s="1">
        <v>0</v>
      </c>
      <c r="E2" s="106"/>
      <c r="F2" s="1">
        <v>0</v>
      </c>
      <c r="G2" s="1">
        <v>0</v>
      </c>
      <c r="H2" s="1">
        <v>0</v>
      </c>
      <c r="I2" s="1">
        <v>0</v>
      </c>
      <c r="J2" s="51">
        <v>0</v>
      </c>
      <c r="K2" s="1">
        <v>0</v>
      </c>
      <c r="L2" s="1">
        <v>0</v>
      </c>
      <c r="M2" s="1">
        <v>0</v>
      </c>
      <c r="N2" s="1">
        <v>9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4800</v>
      </c>
      <c r="W2" s="28">
        <v>0</v>
      </c>
    </row>
    <row r="3" spans="1:23" x14ac:dyDescent="0.25">
      <c r="A3" s="20" t="s">
        <v>158</v>
      </c>
      <c r="B3" s="123" t="str">
        <f t="shared" si="0"/>
        <v/>
      </c>
      <c r="C3" s="77">
        <v>0</v>
      </c>
      <c r="D3" s="1">
        <v>0</v>
      </c>
      <c r="E3" s="106"/>
      <c r="F3" s="1"/>
      <c r="G3" s="1"/>
      <c r="H3" s="1"/>
      <c r="I3" s="1"/>
      <c r="J3" s="51"/>
      <c r="K3" s="1">
        <v>0</v>
      </c>
      <c r="L3" s="1"/>
      <c r="M3" s="1"/>
      <c r="N3" s="1"/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700</v>
      </c>
      <c r="W3" s="28">
        <v>0</v>
      </c>
    </row>
    <row r="4" spans="1:23" x14ac:dyDescent="0.25">
      <c r="A4" s="20" t="s">
        <v>2</v>
      </c>
      <c r="B4" s="123" t="str">
        <f t="shared" si="0"/>
        <v/>
      </c>
      <c r="C4" s="77">
        <v>0</v>
      </c>
      <c r="D4" s="1">
        <v>0</v>
      </c>
      <c r="E4" s="106"/>
      <c r="F4" s="1">
        <v>0</v>
      </c>
      <c r="G4" s="1">
        <v>0</v>
      </c>
      <c r="H4" s="1">
        <v>76</v>
      </c>
      <c r="I4" s="1">
        <v>0</v>
      </c>
      <c r="J4" s="51">
        <v>0</v>
      </c>
      <c r="K4" s="1">
        <v>0</v>
      </c>
      <c r="L4" s="1">
        <v>0</v>
      </c>
      <c r="M4" s="1">
        <v>0</v>
      </c>
      <c r="N4" s="1">
        <v>19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1500</v>
      </c>
      <c r="W4" s="28">
        <v>0</v>
      </c>
    </row>
    <row r="5" spans="1:23" x14ac:dyDescent="0.25">
      <c r="A5" s="20" t="s">
        <v>103</v>
      </c>
      <c r="B5" s="123" t="str">
        <f t="shared" si="0"/>
        <v/>
      </c>
      <c r="C5" s="77">
        <v>0</v>
      </c>
      <c r="D5" s="1">
        <v>0</v>
      </c>
      <c r="E5" s="106"/>
      <c r="F5" s="1"/>
      <c r="G5" s="1"/>
      <c r="H5" s="1"/>
      <c r="I5" s="1"/>
      <c r="J5" s="5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8"/>
    </row>
    <row r="6" spans="1:23" x14ac:dyDescent="0.25">
      <c r="A6" s="20" t="s">
        <v>3</v>
      </c>
      <c r="B6" s="123">
        <f t="shared" si="0"/>
        <v>-0.61097271905586803</v>
      </c>
      <c r="C6" s="77">
        <v>-1277.7657803011257</v>
      </c>
      <c r="D6" s="1">
        <v>-952.84250919413034</v>
      </c>
      <c r="E6" s="106">
        <v>502.23421969887443</v>
      </c>
      <c r="F6" s="1">
        <v>1291</v>
      </c>
      <c r="G6" s="1">
        <v>267</v>
      </c>
      <c r="H6" s="1">
        <v>771</v>
      </c>
      <c r="I6" s="1">
        <v>800</v>
      </c>
      <c r="J6" s="51">
        <v>1356</v>
      </c>
      <c r="K6" s="1">
        <v>2219</v>
      </c>
      <c r="L6" s="1">
        <v>578</v>
      </c>
      <c r="M6" s="1">
        <v>1079</v>
      </c>
      <c r="N6" s="1">
        <v>3704</v>
      </c>
      <c r="O6" s="1">
        <v>2710</v>
      </c>
      <c r="P6" s="1">
        <v>2249</v>
      </c>
      <c r="Q6" s="1">
        <v>0</v>
      </c>
      <c r="R6" s="1">
        <v>900</v>
      </c>
      <c r="S6" s="1">
        <v>0</v>
      </c>
      <c r="T6" s="1">
        <v>7269</v>
      </c>
      <c r="U6" s="1">
        <v>2400</v>
      </c>
      <c r="V6" s="1">
        <v>9400</v>
      </c>
      <c r="W6" s="28">
        <v>2400</v>
      </c>
    </row>
    <row r="7" spans="1:23" x14ac:dyDescent="0.25">
      <c r="A7" s="21" t="s">
        <v>26</v>
      </c>
      <c r="B7" s="26">
        <f t="shared" si="0"/>
        <v>-0.66273044461830932</v>
      </c>
      <c r="C7" s="45">
        <v>-2376.4308524305488</v>
      </c>
      <c r="D7" s="1">
        <v>-2275.4769060701001</v>
      </c>
      <c r="E7" s="106">
        <v>2990.5691475694512</v>
      </c>
      <c r="F7" s="1">
        <v>8867</v>
      </c>
      <c r="G7" s="1">
        <v>6455.51</v>
      </c>
      <c r="H7" s="1">
        <v>25301</v>
      </c>
      <c r="I7" s="1">
        <v>11350</v>
      </c>
      <c r="J7" s="51">
        <v>10937</v>
      </c>
      <c r="K7" s="1">
        <v>9869</v>
      </c>
      <c r="L7" s="1">
        <v>62</v>
      </c>
      <c r="M7" s="71">
        <v>4333</v>
      </c>
      <c r="N7" s="71">
        <v>10933</v>
      </c>
      <c r="O7" s="71">
        <v>21302</v>
      </c>
      <c r="P7" s="71">
        <v>7242</v>
      </c>
      <c r="Q7" s="71">
        <v>2598</v>
      </c>
      <c r="R7" s="71">
        <v>4900</v>
      </c>
      <c r="S7" s="71">
        <v>18150</v>
      </c>
      <c r="T7" s="71">
        <v>37150</v>
      </c>
      <c r="U7" s="71">
        <v>58200</v>
      </c>
      <c r="V7" s="1">
        <v>48600</v>
      </c>
      <c r="W7" s="28">
        <v>34300</v>
      </c>
    </row>
    <row r="8" spans="1:23" x14ac:dyDescent="0.25">
      <c r="A8" s="20" t="s">
        <v>25</v>
      </c>
      <c r="B8" s="26">
        <f t="shared" si="0"/>
        <v>-0.2990541895677043</v>
      </c>
      <c r="C8" s="45">
        <v>-447.29168826631167</v>
      </c>
      <c r="D8" s="1">
        <v>-1876.9998357989621</v>
      </c>
      <c r="E8" s="106">
        <v>1043.7083117336883</v>
      </c>
      <c r="F8" s="1">
        <v>1489</v>
      </c>
      <c r="G8" s="1">
        <v>1717</v>
      </c>
      <c r="H8" s="1">
        <v>6955</v>
      </c>
      <c r="I8" s="1">
        <v>2168</v>
      </c>
      <c r="J8" s="51">
        <v>10828</v>
      </c>
      <c r="K8" s="1">
        <v>11689</v>
      </c>
      <c r="L8" s="1">
        <v>2</v>
      </c>
      <c r="M8" s="71">
        <v>2308</v>
      </c>
      <c r="N8" s="71">
        <v>1732</v>
      </c>
      <c r="O8" s="71">
        <v>8504</v>
      </c>
      <c r="P8" s="71">
        <v>2206</v>
      </c>
      <c r="Q8" s="71">
        <v>1839</v>
      </c>
      <c r="R8" s="71">
        <v>2400</v>
      </c>
      <c r="S8" s="71">
        <v>5349</v>
      </c>
      <c r="T8" s="71">
        <v>880</v>
      </c>
      <c r="U8" s="71">
        <v>500</v>
      </c>
      <c r="V8" s="1">
        <v>16700</v>
      </c>
      <c r="W8" s="28">
        <v>10600</v>
      </c>
    </row>
    <row r="9" spans="1:23" ht="13.8" thickBot="1" x14ac:dyDescent="0.3">
      <c r="A9" s="22" t="s">
        <v>59</v>
      </c>
      <c r="B9" s="27">
        <f t="shared" si="0"/>
        <v>-0.76300578034682076</v>
      </c>
      <c r="C9" s="46">
        <v>-54</v>
      </c>
      <c r="D9" s="10">
        <v>-539</v>
      </c>
      <c r="E9" s="107">
        <v>82</v>
      </c>
      <c r="F9" s="10">
        <v>346</v>
      </c>
      <c r="G9" s="10">
        <v>913</v>
      </c>
      <c r="H9" s="10">
        <v>6712</v>
      </c>
      <c r="I9" s="10">
        <v>2000</v>
      </c>
      <c r="J9" s="54">
        <v>392</v>
      </c>
      <c r="K9" s="10">
        <v>1882</v>
      </c>
      <c r="L9" s="10">
        <v>0</v>
      </c>
      <c r="M9" s="72">
        <v>0</v>
      </c>
      <c r="N9" s="72">
        <v>1770</v>
      </c>
      <c r="O9" s="72">
        <v>486</v>
      </c>
      <c r="P9" s="72">
        <v>792</v>
      </c>
      <c r="Q9" s="72">
        <v>0</v>
      </c>
      <c r="R9" s="72">
        <v>150</v>
      </c>
      <c r="S9" s="72">
        <v>0</v>
      </c>
      <c r="T9" s="72">
        <v>2569</v>
      </c>
      <c r="U9" s="72">
        <v>12900</v>
      </c>
      <c r="V9" s="10">
        <v>7800</v>
      </c>
      <c r="W9" s="30">
        <v>200</v>
      </c>
    </row>
    <row r="10" spans="1:23" ht="13.8" thickBot="1" x14ac:dyDescent="0.3">
      <c r="A10" s="31" t="s">
        <v>22</v>
      </c>
      <c r="B10" s="32">
        <f t="shared" si="0"/>
        <v>-0.61489938472425465</v>
      </c>
      <c r="C10" s="124">
        <v>-4155.4883209979862</v>
      </c>
      <c r="D10" s="33">
        <v>-5644.3192510631925</v>
      </c>
      <c r="E10" s="108">
        <f t="shared" ref="E10" si="1">SUM(E2:E9)</f>
        <v>4618.5116790020138</v>
      </c>
      <c r="F10" s="33">
        <f t="shared" ref="F10:K10" si="2">SUM(F2:F9)</f>
        <v>11993</v>
      </c>
      <c r="G10" s="33">
        <f t="shared" si="2"/>
        <v>9352.51</v>
      </c>
      <c r="H10" s="33">
        <f t="shared" si="2"/>
        <v>39815</v>
      </c>
      <c r="I10" s="33">
        <f t="shared" si="2"/>
        <v>16318</v>
      </c>
      <c r="J10" s="89">
        <f t="shared" si="2"/>
        <v>23513</v>
      </c>
      <c r="K10" s="33">
        <f t="shared" si="2"/>
        <v>25659</v>
      </c>
      <c r="L10" s="33">
        <v>642</v>
      </c>
      <c r="M10" s="33">
        <f>SUM(M2:M9)</f>
        <v>7720</v>
      </c>
      <c r="N10" s="33">
        <f>SUM(N2:N9)</f>
        <v>18167</v>
      </c>
      <c r="O10" s="33">
        <v>33002</v>
      </c>
      <c r="P10" s="33">
        <f>SUM(P2:P9)</f>
        <v>12489</v>
      </c>
      <c r="Q10" s="33">
        <f>SUM(Q2:Q9)</f>
        <v>4437</v>
      </c>
      <c r="R10" s="33">
        <f t="shared" ref="R10:W10" si="3">SUM(R2:R9)</f>
        <v>8350</v>
      </c>
      <c r="S10" s="33">
        <f t="shared" si="3"/>
        <v>23499</v>
      </c>
      <c r="T10" s="33">
        <f t="shared" si="3"/>
        <v>47868</v>
      </c>
      <c r="U10" s="33">
        <f t="shared" si="3"/>
        <v>74000</v>
      </c>
      <c r="V10" s="33">
        <f t="shared" si="3"/>
        <v>89500</v>
      </c>
      <c r="W10" s="34">
        <f t="shared" si="3"/>
        <v>47500</v>
      </c>
    </row>
    <row r="11" spans="1:23" x14ac:dyDescent="0.25">
      <c r="A11" t="s">
        <v>156</v>
      </c>
      <c r="B11" s="35"/>
      <c r="C11" s="35"/>
      <c r="D11" s="35"/>
      <c r="E11" s="35"/>
      <c r="F11" s="35"/>
      <c r="G11" s="35"/>
      <c r="H11" s="35"/>
      <c r="I11" s="35"/>
      <c r="J11" s="113"/>
      <c r="K11" s="35"/>
      <c r="L11" s="35"/>
    </row>
    <row r="12" spans="1:23" x14ac:dyDescent="0.25">
      <c r="A12" s="47" t="s">
        <v>157</v>
      </c>
      <c r="B12" s="35"/>
      <c r="C12" s="35"/>
      <c r="D12" s="35"/>
      <c r="E12" s="35"/>
      <c r="F12" s="35"/>
      <c r="G12" s="35"/>
      <c r="H12" s="35"/>
      <c r="I12" s="35"/>
      <c r="J12" s="113"/>
      <c r="K12" s="35"/>
      <c r="L12" s="35"/>
    </row>
    <row r="13" spans="1:23" ht="13.8" thickBot="1" x14ac:dyDescent="0.3">
      <c r="B13" s="35"/>
      <c r="C13" s="35"/>
      <c r="D13" s="35"/>
      <c r="E13" s="35"/>
      <c r="F13" s="35"/>
      <c r="G13" s="35"/>
      <c r="H13" s="35"/>
      <c r="I13" s="35"/>
      <c r="J13" s="113"/>
      <c r="K13" s="35"/>
      <c r="L13" s="35"/>
    </row>
    <row r="14" spans="1:23" ht="13.8" thickBot="1" x14ac:dyDescent="0.3">
      <c r="A14" s="23" t="s">
        <v>24</v>
      </c>
      <c r="B14" s="119" t="s">
        <v>170</v>
      </c>
      <c r="C14" s="96" t="s">
        <v>171</v>
      </c>
      <c r="D14" s="97" t="s">
        <v>168</v>
      </c>
      <c r="E14" s="105">
        <v>45839</v>
      </c>
      <c r="F14" s="95">
        <v>45474</v>
      </c>
      <c r="G14" s="95">
        <v>45108</v>
      </c>
      <c r="H14" s="95">
        <v>44743</v>
      </c>
      <c r="I14" s="95">
        <v>44378</v>
      </c>
      <c r="J14" s="112">
        <v>44013</v>
      </c>
      <c r="K14" s="95">
        <v>43647</v>
      </c>
      <c r="L14" s="95">
        <v>43282</v>
      </c>
      <c r="M14" s="24">
        <v>42917</v>
      </c>
      <c r="N14" s="24">
        <v>42552</v>
      </c>
      <c r="O14" s="24">
        <v>42186</v>
      </c>
      <c r="P14" s="24">
        <v>41821</v>
      </c>
      <c r="Q14" s="24">
        <v>41456</v>
      </c>
      <c r="R14" s="24">
        <v>41091</v>
      </c>
      <c r="S14" s="24">
        <v>40725</v>
      </c>
      <c r="T14" s="24">
        <v>40360</v>
      </c>
      <c r="U14" s="24">
        <v>39995</v>
      </c>
      <c r="V14" s="24">
        <v>39630</v>
      </c>
      <c r="W14" s="25">
        <v>39264</v>
      </c>
    </row>
    <row r="15" spans="1:23" x14ac:dyDescent="0.25">
      <c r="A15" s="20" t="s">
        <v>7</v>
      </c>
      <c r="B15" s="26">
        <f t="shared" ref="B15:B20" si="4">IFERROR(((E15-F15)/F15),"")</f>
        <v>-0.5256808097711746</v>
      </c>
      <c r="C15" s="45">
        <v>-3265.7780227544736</v>
      </c>
      <c r="D15" s="1">
        <v>-3319.3599999999997</v>
      </c>
      <c r="E15" s="106">
        <v>716.22197724552643</v>
      </c>
      <c r="F15" s="1">
        <v>1510</v>
      </c>
      <c r="G15" s="1">
        <v>809</v>
      </c>
      <c r="H15" s="1">
        <v>803</v>
      </c>
      <c r="I15" s="1">
        <v>3300</v>
      </c>
      <c r="J15" s="51">
        <v>0</v>
      </c>
      <c r="K15" s="1">
        <v>3127</v>
      </c>
      <c r="L15" s="1">
        <v>140</v>
      </c>
      <c r="M15" s="1">
        <v>150</v>
      </c>
      <c r="N15" s="1">
        <v>522</v>
      </c>
      <c r="O15" s="1">
        <v>352</v>
      </c>
      <c r="P15" s="1">
        <v>995</v>
      </c>
      <c r="Q15" s="1">
        <v>595</v>
      </c>
      <c r="R15" s="1">
        <v>132</v>
      </c>
      <c r="S15" s="1">
        <v>6300</v>
      </c>
      <c r="T15" s="1">
        <v>3700</v>
      </c>
      <c r="U15" s="1">
        <v>0</v>
      </c>
      <c r="V15" s="1">
        <v>41000</v>
      </c>
      <c r="W15" s="28">
        <v>14400</v>
      </c>
    </row>
    <row r="16" spans="1:23" x14ac:dyDescent="0.25">
      <c r="A16" s="20" t="s">
        <v>102</v>
      </c>
      <c r="B16" s="26" t="str">
        <f t="shared" si="4"/>
        <v/>
      </c>
      <c r="C16" s="45">
        <v>0</v>
      </c>
      <c r="D16" s="1">
        <v>0</v>
      </c>
      <c r="E16" s="106"/>
      <c r="F16" s="1"/>
      <c r="G16" s="1"/>
      <c r="H16" s="1">
        <v>0</v>
      </c>
      <c r="I16" s="1">
        <v>0</v>
      </c>
      <c r="J16" s="5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28">
        <v>0</v>
      </c>
    </row>
    <row r="17" spans="1:24" x14ac:dyDescent="0.25">
      <c r="A17" s="39" t="s">
        <v>164</v>
      </c>
      <c r="B17" s="26" t="str">
        <f t="shared" si="4"/>
        <v/>
      </c>
      <c r="C17" s="45">
        <v>0</v>
      </c>
      <c r="D17" s="1">
        <v>0</v>
      </c>
      <c r="E17" s="106"/>
      <c r="F17" s="1"/>
      <c r="G17" s="1"/>
      <c r="H17" s="1">
        <v>0</v>
      </c>
      <c r="I17" s="1">
        <v>0</v>
      </c>
      <c r="J17" s="51">
        <v>0</v>
      </c>
      <c r="K17" s="1">
        <v>0</v>
      </c>
      <c r="L17" s="1">
        <v>0</v>
      </c>
      <c r="M17" s="1">
        <v>0</v>
      </c>
      <c r="N17" s="1">
        <v>0</v>
      </c>
      <c r="O17" s="1"/>
      <c r="P17" s="1"/>
      <c r="Q17" s="1"/>
      <c r="R17" s="1"/>
      <c r="S17" s="1"/>
      <c r="T17" s="1"/>
      <c r="U17" s="1"/>
      <c r="V17" s="1"/>
      <c r="W17" s="28"/>
    </row>
    <row r="18" spans="1:24" x14ac:dyDescent="0.25">
      <c r="A18" s="39" t="s">
        <v>174</v>
      </c>
      <c r="B18" s="134" t="str">
        <f t="shared" si="4"/>
        <v/>
      </c>
      <c r="C18" s="135">
        <v>0</v>
      </c>
      <c r="D18" s="51">
        <v>0</v>
      </c>
      <c r="E18" s="99"/>
      <c r="F18" s="1"/>
      <c r="G18" s="1"/>
      <c r="H18" s="1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8"/>
    </row>
    <row r="19" spans="1:24" ht="13.8" thickBot="1" x14ac:dyDescent="0.3">
      <c r="A19" s="29" t="s">
        <v>6</v>
      </c>
      <c r="B19" s="27" t="str">
        <f t="shared" si="4"/>
        <v/>
      </c>
      <c r="C19" s="46">
        <v>0</v>
      </c>
      <c r="D19" s="10">
        <v>0</v>
      </c>
      <c r="E19" s="107"/>
      <c r="F19" s="10"/>
      <c r="G19" s="10"/>
      <c r="H19" s="10">
        <v>0</v>
      </c>
      <c r="I19" s="10">
        <v>0</v>
      </c>
      <c r="J19" s="54">
        <v>0</v>
      </c>
      <c r="K19" s="10">
        <v>0</v>
      </c>
      <c r="L19" s="10">
        <v>0</v>
      </c>
      <c r="M19" s="10">
        <v>0</v>
      </c>
      <c r="N19" s="10">
        <v>0</v>
      </c>
      <c r="O19" s="10">
        <v>66</v>
      </c>
      <c r="P19" s="10">
        <v>0</v>
      </c>
      <c r="Q19" s="10">
        <v>0</v>
      </c>
      <c r="R19" s="10">
        <v>0</v>
      </c>
      <c r="S19" s="10">
        <v>0</v>
      </c>
      <c r="T19" s="10"/>
      <c r="U19" s="10">
        <v>0</v>
      </c>
      <c r="V19" s="10">
        <v>0</v>
      </c>
      <c r="W19" s="30">
        <v>500</v>
      </c>
    </row>
    <row r="20" spans="1:24" ht="13.8" thickBot="1" x14ac:dyDescent="0.3">
      <c r="A20" s="31" t="s">
        <v>22</v>
      </c>
      <c r="B20" s="32">
        <f t="shared" si="4"/>
        <v>-0.5256808097711746</v>
      </c>
      <c r="C20" s="124">
        <v>-3265.7780227544736</v>
      </c>
      <c r="D20" s="33">
        <v>-3319.3599999999997</v>
      </c>
      <c r="E20" s="108">
        <f t="shared" ref="E20" si="5">SUM(E15:E19)</f>
        <v>716.22197724552643</v>
      </c>
      <c r="F20" s="33">
        <f t="shared" ref="F20:K20" si="6">SUM(F15:F19)</f>
        <v>1510</v>
      </c>
      <c r="G20" s="33">
        <f t="shared" si="6"/>
        <v>809</v>
      </c>
      <c r="H20" s="33">
        <f t="shared" si="6"/>
        <v>803</v>
      </c>
      <c r="I20" s="33">
        <f t="shared" si="6"/>
        <v>3300</v>
      </c>
      <c r="J20" s="89">
        <f t="shared" si="6"/>
        <v>0</v>
      </c>
      <c r="K20" s="33">
        <f t="shared" si="6"/>
        <v>3127</v>
      </c>
      <c r="L20" s="33">
        <v>140</v>
      </c>
      <c r="M20" s="33">
        <f>SUM(M15:M19)</f>
        <v>150</v>
      </c>
      <c r="N20" s="33">
        <f>SUM(N15:N19)</f>
        <v>522</v>
      </c>
      <c r="O20" s="33">
        <v>418</v>
      </c>
      <c r="P20" s="33">
        <f>SUM(P15:P19)</f>
        <v>995</v>
      </c>
      <c r="Q20" s="33">
        <f>SUM(Q15:Q19)</f>
        <v>595</v>
      </c>
      <c r="R20" s="33">
        <f t="shared" ref="R20:W20" si="7">SUM(R15:R19)</f>
        <v>132</v>
      </c>
      <c r="S20" s="33">
        <f t="shared" si="7"/>
        <v>6300</v>
      </c>
      <c r="T20" s="33">
        <f t="shared" si="7"/>
        <v>3700</v>
      </c>
      <c r="U20" s="33">
        <f t="shared" si="7"/>
        <v>0</v>
      </c>
      <c r="V20" s="33">
        <f t="shared" si="7"/>
        <v>41000</v>
      </c>
      <c r="W20" s="34">
        <f t="shared" si="7"/>
        <v>14900</v>
      </c>
    </row>
    <row r="27" spans="1:24" ht="17.399999999999999" x14ac:dyDescent="0.3">
      <c r="V27" s="5"/>
      <c r="W27" s="1"/>
      <c r="X27" s="1"/>
    </row>
    <row r="28" spans="1:24" ht="17.399999999999999" x14ac:dyDescent="0.3">
      <c r="V28" s="5"/>
      <c r="W28" s="1"/>
      <c r="X28" s="1"/>
    </row>
    <row r="29" spans="1:24" ht="17.399999999999999" x14ac:dyDescent="0.3">
      <c r="V29" s="5"/>
      <c r="W29" s="1"/>
      <c r="X29" s="1"/>
    </row>
    <row r="30" spans="1:24" ht="17.399999999999999" x14ac:dyDescent="0.3">
      <c r="V30" s="5"/>
      <c r="W30" s="1"/>
      <c r="X30" s="1"/>
    </row>
    <row r="31" spans="1:24" ht="17.399999999999999" x14ac:dyDescent="0.3">
      <c r="V31" s="5"/>
      <c r="W31" s="1"/>
      <c r="X31" s="1"/>
    </row>
    <row r="32" spans="1:24" ht="17.399999999999999" x14ac:dyDescent="0.3">
      <c r="V32" s="5"/>
      <c r="W32" s="1"/>
      <c r="X32" s="1"/>
    </row>
    <row r="33" spans="22:24" ht="17.399999999999999" x14ac:dyDescent="0.3">
      <c r="V33" s="5"/>
      <c r="W33" s="1"/>
      <c r="X33" s="1"/>
    </row>
    <row r="34" spans="22:24" ht="17.399999999999999" x14ac:dyDescent="0.3">
      <c r="V34" s="5"/>
      <c r="W34" s="1"/>
      <c r="X34" s="1"/>
    </row>
    <row r="35" spans="22:24" ht="17.399999999999999" x14ac:dyDescent="0.3">
      <c r="V35" s="5"/>
      <c r="W35" s="1"/>
      <c r="X35" s="1"/>
    </row>
    <row r="36" spans="22:24" ht="17.399999999999999" x14ac:dyDescent="0.3">
      <c r="V36" s="5"/>
      <c r="W36" s="1"/>
      <c r="X36" s="1"/>
    </row>
    <row r="37" spans="22:24" ht="17.399999999999999" x14ac:dyDescent="0.3">
      <c r="V37" s="6"/>
      <c r="W37" s="1"/>
      <c r="X37" s="1"/>
    </row>
    <row r="38" spans="22:24" ht="18" x14ac:dyDescent="0.35">
      <c r="V38" s="7"/>
      <c r="W38" s="2"/>
      <c r="X38" s="2"/>
    </row>
  </sheetData>
  <conditionalFormatting sqref="E1">
    <cfRule type="expression" dxfId="23" priority="2">
      <formula>ISBLANK(XFD1)=FALSE</formula>
    </cfRule>
  </conditionalFormatting>
  <conditionalFormatting sqref="E14">
    <cfRule type="expression" dxfId="22" priority="1">
      <formula>ISBLANK(XFD14)=FALSE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"/>
  <sheetViews>
    <sheetView workbookViewId="0"/>
  </sheetViews>
  <sheetFormatPr defaultColWidth="9.109375" defaultRowHeight="13.2" x14ac:dyDescent="0.25"/>
  <cols>
    <col min="1" max="1" width="19.109375" customWidth="1"/>
    <col min="2" max="2" width="10.6640625" customWidth="1"/>
    <col min="3" max="3" width="11.6640625" bestFit="1" customWidth="1"/>
    <col min="4" max="4" width="11.33203125" style="74" bestFit="1" customWidth="1"/>
    <col min="5" max="5" width="11.33203125" style="74" customWidth="1"/>
    <col min="6" max="12" width="11.44140625" style="74" customWidth="1"/>
    <col min="13" max="13" width="10.109375" style="74" bestFit="1" customWidth="1"/>
    <col min="14" max="23" width="10.109375" bestFit="1" customWidth="1"/>
  </cols>
  <sheetData>
    <row r="1" spans="1:23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3" x14ac:dyDescent="0.25">
      <c r="A2" s="39" t="s">
        <v>11</v>
      </c>
      <c r="B2" s="26" t="str">
        <f t="shared" ref="B2:B12" si="0">IFERROR(((E2-F2)/F2),"")</f>
        <v/>
      </c>
      <c r="C2" s="45"/>
      <c r="D2" s="37">
        <v>-18</v>
      </c>
      <c r="E2" s="103"/>
      <c r="F2" s="78">
        <v>0</v>
      </c>
      <c r="G2" s="78">
        <v>0</v>
      </c>
      <c r="H2" s="78">
        <v>1000</v>
      </c>
      <c r="I2" s="78">
        <v>0</v>
      </c>
      <c r="J2" s="78">
        <v>0</v>
      </c>
      <c r="K2" s="78">
        <v>0</v>
      </c>
      <c r="L2" s="78"/>
      <c r="M2" s="78"/>
      <c r="N2" s="1"/>
      <c r="O2" s="1"/>
      <c r="P2" s="1"/>
      <c r="Q2" s="1"/>
      <c r="R2" s="1"/>
      <c r="S2" s="1"/>
      <c r="T2" s="1"/>
      <c r="U2" s="1"/>
      <c r="V2" s="1"/>
      <c r="W2" s="28"/>
    </row>
    <row r="3" spans="1:23" x14ac:dyDescent="0.25">
      <c r="A3" s="20" t="s">
        <v>9</v>
      </c>
      <c r="B3" s="26" t="str">
        <f t="shared" si="0"/>
        <v/>
      </c>
      <c r="C3" s="45"/>
      <c r="D3" s="78">
        <v>-145</v>
      </c>
      <c r="E3" s="114"/>
      <c r="F3" s="78">
        <v>0</v>
      </c>
      <c r="G3" s="78">
        <v>0</v>
      </c>
      <c r="H3" s="78">
        <v>100</v>
      </c>
      <c r="I3" s="78">
        <v>0</v>
      </c>
      <c r="J3" s="78">
        <v>0</v>
      </c>
      <c r="K3" s="78">
        <v>0</v>
      </c>
      <c r="L3" s="78"/>
      <c r="M3" s="78"/>
      <c r="N3" s="1"/>
      <c r="O3" s="1"/>
      <c r="P3" s="1"/>
      <c r="Q3" s="1"/>
      <c r="R3" s="1"/>
      <c r="S3" s="1"/>
      <c r="T3" s="1"/>
      <c r="U3" s="1"/>
      <c r="V3" s="1"/>
      <c r="W3" s="28"/>
    </row>
    <row r="4" spans="1:23" x14ac:dyDescent="0.25">
      <c r="A4" s="20" t="s">
        <v>14</v>
      </c>
      <c r="B4" s="26" t="str">
        <f t="shared" si="0"/>
        <v/>
      </c>
      <c r="C4" s="45"/>
      <c r="D4" s="78">
        <v>0</v>
      </c>
      <c r="E4" s="114"/>
      <c r="F4" s="78">
        <v>0</v>
      </c>
      <c r="G4" s="78">
        <v>0</v>
      </c>
      <c r="H4" s="78">
        <v>0</v>
      </c>
      <c r="I4" s="78">
        <v>0</v>
      </c>
      <c r="J4" s="78">
        <v>0</v>
      </c>
      <c r="K4" s="78">
        <v>140</v>
      </c>
      <c r="L4" s="78"/>
      <c r="M4" s="78"/>
      <c r="N4" s="1"/>
      <c r="O4" s="1"/>
      <c r="P4" s="1"/>
      <c r="Q4" s="1"/>
      <c r="R4" s="1"/>
      <c r="S4" s="1"/>
      <c r="T4" s="1"/>
      <c r="U4" s="1"/>
      <c r="V4" s="1"/>
      <c r="W4" s="28"/>
    </row>
    <row r="5" spans="1:23" x14ac:dyDescent="0.25">
      <c r="A5" s="20" t="s">
        <v>3</v>
      </c>
      <c r="B5" s="26" t="str">
        <f t="shared" si="0"/>
        <v/>
      </c>
      <c r="C5" s="45"/>
      <c r="D5" s="78">
        <v>-3456</v>
      </c>
      <c r="E5" s="114"/>
      <c r="F5" s="78">
        <v>0</v>
      </c>
      <c r="G5" s="78">
        <v>0</v>
      </c>
      <c r="H5" s="78">
        <v>600</v>
      </c>
      <c r="I5" s="78">
        <v>0</v>
      </c>
      <c r="J5" s="78">
        <v>0</v>
      </c>
      <c r="K5" s="78">
        <v>2972</v>
      </c>
      <c r="L5" s="78"/>
      <c r="M5" s="78"/>
      <c r="N5" s="1"/>
      <c r="O5" s="1"/>
      <c r="P5" s="1"/>
      <c r="Q5" s="1"/>
      <c r="R5" s="1"/>
      <c r="S5" s="1"/>
      <c r="T5" s="1"/>
      <c r="U5" s="1"/>
      <c r="V5" s="1"/>
      <c r="W5" s="28"/>
    </row>
    <row r="6" spans="1:23" x14ac:dyDescent="0.25">
      <c r="A6" s="20" t="s">
        <v>10</v>
      </c>
      <c r="B6" s="26" t="str">
        <f t="shared" si="0"/>
        <v/>
      </c>
      <c r="C6" s="45"/>
      <c r="D6" s="78">
        <v>-110</v>
      </c>
      <c r="E6" s="114"/>
      <c r="F6" s="78">
        <v>0</v>
      </c>
      <c r="G6" s="78">
        <v>0</v>
      </c>
      <c r="H6" s="78">
        <v>700</v>
      </c>
      <c r="I6" s="78">
        <v>0</v>
      </c>
      <c r="J6" s="78">
        <v>0</v>
      </c>
      <c r="K6" s="78">
        <v>1023</v>
      </c>
      <c r="L6" s="78"/>
      <c r="M6" s="78"/>
      <c r="N6" s="1"/>
      <c r="O6" s="1"/>
      <c r="P6" s="1"/>
      <c r="Q6" s="1"/>
      <c r="R6" s="1"/>
      <c r="S6" s="1"/>
      <c r="T6" s="1"/>
      <c r="U6" s="1"/>
      <c r="V6" s="1"/>
      <c r="W6" s="28"/>
    </row>
    <row r="7" spans="1:23" x14ac:dyDescent="0.25">
      <c r="A7" s="20" t="s">
        <v>26</v>
      </c>
      <c r="B7" s="123" t="str">
        <f t="shared" si="0"/>
        <v/>
      </c>
      <c r="C7" s="77"/>
      <c r="D7" s="78">
        <v>-15</v>
      </c>
      <c r="E7" s="114"/>
      <c r="F7" s="78">
        <v>0</v>
      </c>
      <c r="G7" s="78">
        <v>0</v>
      </c>
      <c r="H7" s="78">
        <v>200</v>
      </c>
      <c r="I7" s="78">
        <v>0</v>
      </c>
      <c r="J7" s="78">
        <v>0</v>
      </c>
      <c r="K7" s="78">
        <v>307</v>
      </c>
      <c r="L7" s="78"/>
      <c r="M7" s="78"/>
      <c r="N7" s="1"/>
      <c r="O7" s="1"/>
      <c r="P7" s="1"/>
      <c r="Q7" s="1"/>
      <c r="R7" s="1"/>
      <c r="S7" s="1"/>
      <c r="T7" s="1"/>
      <c r="U7" s="1"/>
      <c r="V7" s="1"/>
      <c r="W7" s="28"/>
    </row>
    <row r="8" spans="1:23" x14ac:dyDescent="0.25">
      <c r="A8" s="20" t="s">
        <v>19</v>
      </c>
      <c r="B8" s="123" t="str">
        <f t="shared" si="0"/>
        <v/>
      </c>
      <c r="C8" s="77"/>
      <c r="D8" s="78">
        <v>-214</v>
      </c>
      <c r="E8" s="114"/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67</v>
      </c>
      <c r="L8" s="78"/>
      <c r="M8" s="78"/>
      <c r="N8" s="1"/>
      <c r="O8" s="1"/>
      <c r="P8" s="1"/>
      <c r="Q8" s="1"/>
      <c r="R8" s="1"/>
      <c r="S8" s="1"/>
      <c r="T8" s="1"/>
      <c r="U8" s="1"/>
      <c r="V8" s="1"/>
      <c r="W8" s="28"/>
    </row>
    <row r="9" spans="1:23" x14ac:dyDescent="0.25">
      <c r="A9" s="39" t="s">
        <v>90</v>
      </c>
      <c r="B9" s="123" t="str">
        <f t="shared" si="0"/>
        <v/>
      </c>
      <c r="C9" s="77"/>
      <c r="D9" s="78">
        <v>-8</v>
      </c>
      <c r="E9" s="114"/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136</v>
      </c>
      <c r="L9" s="78"/>
      <c r="M9" s="78"/>
      <c r="N9" s="1"/>
      <c r="O9" s="1"/>
      <c r="P9" s="1"/>
      <c r="Q9" s="1"/>
      <c r="R9" s="1"/>
      <c r="S9" s="1"/>
      <c r="T9" s="1"/>
      <c r="U9" s="1"/>
      <c r="V9" s="1"/>
      <c r="W9" s="28"/>
    </row>
    <row r="10" spans="1:23" x14ac:dyDescent="0.25">
      <c r="A10" s="20" t="s">
        <v>34</v>
      </c>
      <c r="B10" s="123" t="str">
        <f t="shared" si="0"/>
        <v/>
      </c>
      <c r="C10" s="77"/>
      <c r="D10" s="78">
        <v>0</v>
      </c>
      <c r="E10" s="114"/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/>
      <c r="M10" s="78"/>
      <c r="N10" s="1"/>
      <c r="O10" s="1"/>
      <c r="P10" s="1"/>
      <c r="Q10" s="1"/>
      <c r="R10" s="1"/>
      <c r="S10" s="1"/>
      <c r="T10" s="1"/>
      <c r="U10" s="1"/>
      <c r="V10" s="1"/>
      <c r="W10" s="28"/>
    </row>
    <row r="11" spans="1:23" ht="13.8" thickBot="1" x14ac:dyDescent="0.3">
      <c r="A11" s="22" t="s">
        <v>59</v>
      </c>
      <c r="B11" s="136" t="str">
        <f t="shared" si="0"/>
        <v/>
      </c>
      <c r="C11" s="115"/>
      <c r="D11" s="116">
        <v>-1900</v>
      </c>
      <c r="E11" s="117"/>
      <c r="F11" s="116">
        <v>0</v>
      </c>
      <c r="G11" s="116">
        <v>0</v>
      </c>
      <c r="H11" s="116">
        <v>200</v>
      </c>
      <c r="I11" s="116">
        <v>0</v>
      </c>
      <c r="J11" s="116">
        <v>0</v>
      </c>
      <c r="K11" s="116">
        <v>884</v>
      </c>
      <c r="L11" s="116"/>
      <c r="M11" s="118"/>
      <c r="N11" s="72"/>
      <c r="O11" s="72"/>
      <c r="P11" s="72"/>
      <c r="Q11" s="72"/>
      <c r="R11" s="72"/>
      <c r="S11" s="72"/>
      <c r="T11" s="72"/>
      <c r="U11" s="72"/>
      <c r="V11" s="10"/>
      <c r="W11" s="30"/>
    </row>
    <row r="12" spans="1:23" ht="13.8" thickBot="1" x14ac:dyDescent="0.3">
      <c r="A12" s="31" t="s">
        <v>22</v>
      </c>
      <c r="B12" s="137" t="str">
        <f t="shared" si="0"/>
        <v/>
      </c>
      <c r="C12" s="138"/>
      <c r="D12" s="79">
        <v>-5866</v>
      </c>
      <c r="E12" s="102">
        <f t="shared" ref="E12" si="1">SUM(E2:E11)</f>
        <v>0</v>
      </c>
      <c r="F12" s="79">
        <f>SUM(F2:F11)</f>
        <v>0</v>
      </c>
      <c r="G12" s="79">
        <f>SUM(G2:G11)</f>
        <v>0</v>
      </c>
      <c r="H12" s="79">
        <f>SUM(H2:H11)</f>
        <v>2800</v>
      </c>
      <c r="I12" s="79">
        <v>0</v>
      </c>
      <c r="J12" s="79">
        <f>SUM(J3:J11)</f>
        <v>0</v>
      </c>
      <c r="K12" s="79">
        <f>SUM(K3:K11)</f>
        <v>5529</v>
      </c>
      <c r="L12" s="79"/>
      <c r="M12" s="79"/>
      <c r="N12" s="33"/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f>SUM(T3:T11)</f>
        <v>0</v>
      </c>
      <c r="U12" s="33">
        <f>SUM(U3:U11)</f>
        <v>0</v>
      </c>
      <c r="V12" s="33">
        <f>SUM(V3:V11)</f>
        <v>0</v>
      </c>
      <c r="W12" s="34">
        <f>SUM(W3:W11)</f>
        <v>0</v>
      </c>
    </row>
    <row r="13" spans="1:23" x14ac:dyDescent="0.25">
      <c r="B13" s="139"/>
      <c r="C13" s="139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23" ht="13.8" thickBot="1" x14ac:dyDescent="0.3">
      <c r="B14" s="140"/>
      <c r="C14" s="140"/>
    </row>
    <row r="15" spans="1:23" ht="13.8" thickBot="1" x14ac:dyDescent="0.3">
      <c r="A15" s="48" t="s">
        <v>24</v>
      </c>
      <c r="B15" s="119" t="s">
        <v>170</v>
      </c>
      <c r="C15" s="96" t="s">
        <v>171</v>
      </c>
      <c r="D15" s="97" t="s">
        <v>168</v>
      </c>
      <c r="E15" s="105">
        <v>45839</v>
      </c>
      <c r="F15" s="95">
        <v>45474</v>
      </c>
      <c r="G15" s="95">
        <v>45108</v>
      </c>
      <c r="H15" s="95">
        <v>44743</v>
      </c>
      <c r="I15" s="95">
        <v>44378</v>
      </c>
      <c r="J15" s="95">
        <v>44013</v>
      </c>
      <c r="K15" s="95">
        <v>43647</v>
      </c>
      <c r="L15" s="95">
        <v>43282</v>
      </c>
      <c r="M15" s="24">
        <v>42917</v>
      </c>
      <c r="N15" s="24">
        <v>42552</v>
      </c>
      <c r="O15" s="24">
        <v>42186</v>
      </c>
      <c r="P15" s="24">
        <v>41821</v>
      </c>
      <c r="Q15" s="24">
        <v>41456</v>
      </c>
      <c r="R15" s="24">
        <v>41091</v>
      </c>
      <c r="S15" s="24">
        <v>40725</v>
      </c>
      <c r="T15" s="24">
        <v>40360</v>
      </c>
      <c r="U15" s="24">
        <v>39995</v>
      </c>
      <c r="V15" s="24">
        <v>39630</v>
      </c>
      <c r="W15" s="25">
        <v>39264</v>
      </c>
    </row>
    <row r="16" spans="1:23" x14ac:dyDescent="0.25">
      <c r="A16" s="49" t="s">
        <v>7</v>
      </c>
      <c r="B16" s="128" t="str">
        <f t="shared" ref="B16:B21" si="2">IFERROR(((E16-F16)/F16),"")</f>
        <v/>
      </c>
      <c r="C16" s="129"/>
      <c r="D16" s="51">
        <v>-211</v>
      </c>
      <c r="E16" s="99"/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60"/>
    </row>
    <row r="17" spans="1:24" x14ac:dyDescent="0.25">
      <c r="A17" s="49" t="s">
        <v>42</v>
      </c>
      <c r="B17" s="128" t="str">
        <f t="shared" si="2"/>
        <v/>
      </c>
      <c r="C17" s="129"/>
      <c r="D17" s="51">
        <v>0</v>
      </c>
      <c r="E17" s="99"/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60"/>
    </row>
    <row r="18" spans="1:24" x14ac:dyDescent="0.25">
      <c r="A18" s="49" t="s">
        <v>175</v>
      </c>
      <c r="B18" s="128" t="str">
        <f t="shared" si="2"/>
        <v/>
      </c>
      <c r="C18" s="129"/>
      <c r="D18" s="51">
        <v>0</v>
      </c>
      <c r="E18" s="99"/>
      <c r="F18" s="51">
        <v>0</v>
      </c>
      <c r="G18" s="51">
        <v>0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60"/>
    </row>
    <row r="19" spans="1:24" x14ac:dyDescent="0.25">
      <c r="A19" s="49" t="s">
        <v>165</v>
      </c>
      <c r="B19" s="128" t="str">
        <f t="shared" si="2"/>
        <v/>
      </c>
      <c r="C19" s="129"/>
      <c r="D19" s="51">
        <v>0</v>
      </c>
      <c r="E19" s="99"/>
      <c r="F19" s="51">
        <v>0</v>
      </c>
      <c r="G19" s="51">
        <v>0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60"/>
    </row>
    <row r="20" spans="1:24" ht="13.8" thickBot="1" x14ac:dyDescent="0.3">
      <c r="A20" s="52" t="s">
        <v>6</v>
      </c>
      <c r="B20" s="128" t="str">
        <f t="shared" si="2"/>
        <v/>
      </c>
      <c r="C20" s="129"/>
      <c r="D20" s="51">
        <v>0</v>
      </c>
      <c r="E20" s="99"/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61"/>
      <c r="X20" s="1"/>
    </row>
    <row r="21" spans="1:24" ht="13.8" thickBot="1" x14ac:dyDescent="0.3">
      <c r="A21" s="55" t="s">
        <v>93</v>
      </c>
      <c r="B21" s="56" t="str">
        <f t="shared" si="2"/>
        <v/>
      </c>
      <c r="C21" s="141"/>
      <c r="D21" s="75">
        <v>-211</v>
      </c>
      <c r="E21" s="101">
        <f t="shared" ref="E21" si="3">SUM(E16:E20)</f>
        <v>0</v>
      </c>
      <c r="F21" s="75">
        <f>SUM(F16:F20)</f>
        <v>0</v>
      </c>
      <c r="G21" s="75">
        <f>SUM(G16:G20)</f>
        <v>0</v>
      </c>
      <c r="H21" s="75">
        <f>SUM(H16:H20)</f>
        <v>0</v>
      </c>
      <c r="I21" s="75">
        <v>0</v>
      </c>
      <c r="J21" s="75">
        <v>0</v>
      </c>
      <c r="K21" s="75">
        <v>0</v>
      </c>
      <c r="L21" s="75"/>
      <c r="M21" s="75"/>
      <c r="N21" s="75"/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f>SUM(T16:T20)</f>
        <v>0</v>
      </c>
      <c r="U21" s="75">
        <f>SUM(U16:U20)</f>
        <v>0</v>
      </c>
      <c r="V21" s="75">
        <f>SUM(V16:V20)</f>
        <v>0</v>
      </c>
      <c r="W21" s="76">
        <f>SUM(W16:W20)</f>
        <v>0</v>
      </c>
      <c r="X21" s="1"/>
    </row>
  </sheetData>
  <conditionalFormatting sqref="E1">
    <cfRule type="expression" dxfId="21" priority="2">
      <formula>ISBLANK(XFD1)=FALSE</formula>
    </cfRule>
  </conditionalFormatting>
  <conditionalFormatting sqref="E15">
    <cfRule type="expression" dxfId="20" priority="1">
      <formula>ISBLANK(XFD15)=FALSE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30"/>
  <sheetViews>
    <sheetView workbookViewId="0"/>
  </sheetViews>
  <sheetFormatPr defaultColWidth="9.109375" defaultRowHeight="13.2" x14ac:dyDescent="0.25"/>
  <cols>
    <col min="1" max="1" width="18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1" width="11.6640625" customWidth="1"/>
    <col min="12" max="12" width="11.44140625" customWidth="1"/>
    <col min="13" max="23" width="10.109375" bestFit="1" customWidth="1"/>
  </cols>
  <sheetData>
    <row r="1" spans="1:24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4">
        <v>40360</v>
      </c>
      <c r="U1" s="24">
        <v>39995</v>
      </c>
      <c r="V1" s="24">
        <v>39630</v>
      </c>
      <c r="W1" s="25">
        <v>39264</v>
      </c>
    </row>
    <row r="2" spans="1:24" x14ac:dyDescent="0.25">
      <c r="A2" s="39" t="s">
        <v>4</v>
      </c>
      <c r="B2" s="120" t="str">
        <f t="shared" ref="B2:B20" si="0">IFERROR(((E2-F2)/F2),"")</f>
        <v/>
      </c>
      <c r="C2" s="121"/>
      <c r="D2" s="37">
        <v>0</v>
      </c>
      <c r="E2" s="103"/>
      <c r="F2" s="37"/>
      <c r="G2" s="37"/>
      <c r="H2" s="37"/>
      <c r="I2" s="37">
        <v>0</v>
      </c>
      <c r="J2" s="37">
        <v>0</v>
      </c>
      <c r="K2" s="37"/>
      <c r="L2" s="37"/>
      <c r="M2" s="37"/>
      <c r="N2" s="37">
        <v>0</v>
      </c>
      <c r="O2" s="37"/>
      <c r="P2" s="37"/>
      <c r="Q2" s="37"/>
      <c r="R2" s="37"/>
      <c r="S2" s="37"/>
      <c r="T2" s="37"/>
      <c r="U2" s="37"/>
      <c r="V2" s="37"/>
      <c r="W2" s="58"/>
    </row>
    <row r="3" spans="1:24" x14ac:dyDescent="0.25">
      <c r="A3" s="39" t="s">
        <v>99</v>
      </c>
      <c r="B3" s="120" t="str">
        <f t="shared" si="0"/>
        <v/>
      </c>
      <c r="C3" s="121"/>
      <c r="D3" s="37">
        <v>0</v>
      </c>
      <c r="E3" s="103"/>
      <c r="F3" s="37"/>
      <c r="G3" s="37"/>
      <c r="H3" s="37"/>
      <c r="I3" s="37">
        <v>0</v>
      </c>
      <c r="J3" s="37">
        <v>0</v>
      </c>
      <c r="K3" s="37"/>
      <c r="L3" s="37"/>
      <c r="M3" s="37"/>
      <c r="N3" s="37">
        <v>0</v>
      </c>
      <c r="O3" s="37"/>
      <c r="P3" s="37"/>
      <c r="Q3" s="37"/>
      <c r="R3" s="37"/>
      <c r="S3" s="37"/>
      <c r="T3" s="37"/>
      <c r="U3" s="37"/>
      <c r="V3" s="37"/>
      <c r="W3" s="58"/>
    </row>
    <row r="4" spans="1:24" x14ac:dyDescent="0.25">
      <c r="A4" s="39" t="s">
        <v>5</v>
      </c>
      <c r="B4" s="120" t="str">
        <f t="shared" si="0"/>
        <v/>
      </c>
      <c r="C4" s="121"/>
      <c r="D4" s="37">
        <v>0</v>
      </c>
      <c r="E4" s="103"/>
      <c r="F4" s="37"/>
      <c r="G4" s="37"/>
      <c r="H4" s="37"/>
      <c r="I4" s="37">
        <v>0</v>
      </c>
      <c r="J4" s="37">
        <v>0</v>
      </c>
      <c r="K4" s="37"/>
      <c r="L4" s="37"/>
      <c r="M4" s="37"/>
      <c r="N4" s="37">
        <v>0</v>
      </c>
      <c r="O4" s="37"/>
      <c r="P4" s="37"/>
      <c r="Q4" s="37"/>
      <c r="R4" s="37"/>
      <c r="S4" s="37"/>
      <c r="T4" s="37"/>
      <c r="U4" s="37"/>
      <c r="V4" s="37"/>
      <c r="W4" s="58"/>
    </row>
    <row r="5" spans="1:24" x14ac:dyDescent="0.25">
      <c r="A5" s="39" t="s">
        <v>2</v>
      </c>
      <c r="B5" s="120" t="str">
        <f t="shared" si="0"/>
        <v/>
      </c>
      <c r="C5" s="121"/>
      <c r="D5" s="37">
        <v>0</v>
      </c>
      <c r="E5" s="103"/>
      <c r="F5" s="37"/>
      <c r="G5" s="37"/>
      <c r="H5" s="37"/>
      <c r="I5" s="37">
        <v>0</v>
      </c>
      <c r="J5" s="37">
        <v>0</v>
      </c>
      <c r="K5" s="37">
        <v>0</v>
      </c>
      <c r="L5" s="37"/>
      <c r="M5" s="37"/>
      <c r="N5" s="37">
        <v>0</v>
      </c>
      <c r="O5" s="37"/>
      <c r="P5" s="37"/>
      <c r="Q5" s="37"/>
      <c r="R5" s="37"/>
      <c r="S5" s="37"/>
      <c r="T5" s="37"/>
      <c r="U5" s="37"/>
      <c r="V5" s="37"/>
      <c r="W5" s="58"/>
    </row>
    <row r="6" spans="1:24" x14ac:dyDescent="0.25">
      <c r="A6" s="39" t="s">
        <v>12</v>
      </c>
      <c r="B6" s="120" t="str">
        <f t="shared" si="0"/>
        <v/>
      </c>
      <c r="C6" s="121"/>
      <c r="D6" s="37">
        <v>0</v>
      </c>
      <c r="E6" s="103"/>
      <c r="F6" s="37"/>
      <c r="G6" s="37"/>
      <c r="H6" s="37"/>
      <c r="I6" s="37">
        <v>0</v>
      </c>
      <c r="J6" s="37">
        <v>0</v>
      </c>
      <c r="K6" s="37"/>
      <c r="L6" s="37"/>
      <c r="M6" s="37"/>
      <c r="N6" s="37">
        <v>0</v>
      </c>
      <c r="O6" s="37"/>
      <c r="P6" s="37"/>
      <c r="Q6" s="37"/>
      <c r="R6" s="37"/>
      <c r="S6" s="37"/>
      <c r="T6" s="37"/>
      <c r="U6" s="37"/>
      <c r="V6" s="37"/>
      <c r="W6" s="58"/>
    </row>
    <row r="7" spans="1:24" x14ac:dyDescent="0.25">
      <c r="A7" s="39" t="s">
        <v>9</v>
      </c>
      <c r="B7" s="120" t="str">
        <f t="shared" si="0"/>
        <v/>
      </c>
      <c r="C7" s="121"/>
      <c r="D7" s="37">
        <v>0</v>
      </c>
      <c r="E7" s="103"/>
      <c r="F7" s="37"/>
      <c r="G7" s="37"/>
      <c r="H7" s="37"/>
      <c r="I7" s="37">
        <v>0</v>
      </c>
      <c r="J7" s="37">
        <v>0</v>
      </c>
      <c r="K7" s="37">
        <v>15</v>
      </c>
      <c r="L7" s="37"/>
      <c r="M7" s="37"/>
      <c r="N7" s="37">
        <v>0</v>
      </c>
      <c r="O7" s="37"/>
      <c r="P7" s="37"/>
      <c r="Q7" s="37"/>
      <c r="R7" s="37"/>
      <c r="S7" s="37"/>
      <c r="T7" s="37"/>
      <c r="U7" s="37"/>
      <c r="V7" s="37"/>
      <c r="W7" s="58"/>
    </row>
    <row r="8" spans="1:24" x14ac:dyDescent="0.25">
      <c r="A8" s="39" t="s">
        <v>14</v>
      </c>
      <c r="B8" s="120" t="str">
        <f t="shared" si="0"/>
        <v/>
      </c>
      <c r="C8" s="121"/>
      <c r="D8" s="37">
        <v>0</v>
      </c>
      <c r="E8" s="103"/>
      <c r="F8" s="37"/>
      <c r="G8" s="37"/>
      <c r="H8" s="37"/>
      <c r="I8" s="37">
        <v>0</v>
      </c>
      <c r="J8" s="37">
        <v>0</v>
      </c>
      <c r="K8" s="37"/>
      <c r="L8" s="37"/>
      <c r="M8" s="37"/>
      <c r="N8" s="37">
        <v>0</v>
      </c>
      <c r="O8" s="37"/>
      <c r="P8" s="37"/>
      <c r="Q8" s="37"/>
      <c r="R8" s="37"/>
      <c r="S8" s="37"/>
      <c r="T8" s="37"/>
      <c r="U8" s="37"/>
      <c r="V8" s="37"/>
      <c r="W8" s="58"/>
    </row>
    <row r="9" spans="1:24" x14ac:dyDescent="0.25">
      <c r="A9" s="39" t="s">
        <v>17</v>
      </c>
      <c r="B9" s="120" t="str">
        <f t="shared" si="0"/>
        <v/>
      </c>
      <c r="C9" s="121"/>
      <c r="D9" s="37">
        <v>0</v>
      </c>
      <c r="E9" s="103"/>
      <c r="F9" s="37"/>
      <c r="G9" s="37"/>
      <c r="H9" s="37"/>
      <c r="I9" s="37">
        <v>0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58"/>
    </row>
    <row r="10" spans="1:24" x14ac:dyDescent="0.25">
      <c r="A10" s="39" t="s">
        <v>15</v>
      </c>
      <c r="B10" s="120" t="str">
        <f t="shared" si="0"/>
        <v/>
      </c>
      <c r="C10" s="121"/>
      <c r="D10" s="37">
        <v>0</v>
      </c>
      <c r="E10" s="103"/>
      <c r="F10" s="37"/>
      <c r="G10" s="37"/>
      <c r="H10" s="37"/>
      <c r="I10" s="37">
        <v>0</v>
      </c>
      <c r="J10" s="37">
        <v>0</v>
      </c>
      <c r="K10" s="37"/>
      <c r="L10" s="37"/>
      <c r="M10" s="37"/>
      <c r="N10" s="37">
        <v>0</v>
      </c>
      <c r="O10" s="37"/>
      <c r="P10" s="37"/>
      <c r="Q10" s="37"/>
      <c r="R10" s="37"/>
      <c r="S10" s="37"/>
      <c r="T10" s="37"/>
      <c r="U10" s="37"/>
      <c r="V10" s="37"/>
      <c r="W10" s="58"/>
    </row>
    <row r="11" spans="1:24" x14ac:dyDescent="0.25">
      <c r="A11" s="39" t="s">
        <v>10</v>
      </c>
      <c r="B11" s="120" t="str">
        <f t="shared" si="0"/>
        <v/>
      </c>
      <c r="C11" s="121"/>
      <c r="D11" s="37">
        <v>0</v>
      </c>
      <c r="E11" s="103"/>
      <c r="F11" s="37"/>
      <c r="G11" s="37"/>
      <c r="H11" s="37"/>
      <c r="I11" s="37">
        <v>0</v>
      </c>
      <c r="J11" s="37">
        <v>0</v>
      </c>
      <c r="K11" s="37"/>
      <c r="L11" s="37"/>
      <c r="M11" s="37"/>
      <c r="N11" s="37">
        <v>0</v>
      </c>
      <c r="O11" s="37"/>
      <c r="P11" s="37"/>
      <c r="Q11" s="37"/>
      <c r="R11" s="37"/>
      <c r="S11" s="37"/>
      <c r="T11" s="37"/>
      <c r="U11" s="37"/>
      <c r="V11" s="37"/>
      <c r="W11" s="58"/>
      <c r="X11" s="1"/>
    </row>
    <row r="12" spans="1:24" x14ac:dyDescent="0.25">
      <c r="A12" s="39" t="s">
        <v>101</v>
      </c>
      <c r="B12" s="120" t="str">
        <f t="shared" si="0"/>
        <v/>
      </c>
      <c r="C12" s="121"/>
      <c r="D12" s="37">
        <v>0</v>
      </c>
      <c r="E12" s="103"/>
      <c r="F12" s="37"/>
      <c r="G12" s="37"/>
      <c r="H12" s="37"/>
      <c r="I12" s="37">
        <v>0</v>
      </c>
      <c r="J12" s="37">
        <v>0</v>
      </c>
      <c r="K12" s="37"/>
      <c r="L12" s="37"/>
      <c r="M12" s="37"/>
      <c r="N12" s="37">
        <v>0</v>
      </c>
      <c r="O12" s="37"/>
      <c r="P12" s="37"/>
      <c r="Q12" s="37"/>
      <c r="R12" s="37"/>
      <c r="S12" s="37"/>
      <c r="T12" s="37"/>
      <c r="U12" s="37"/>
      <c r="V12" s="37"/>
      <c r="W12" s="58"/>
      <c r="X12" s="1"/>
    </row>
    <row r="13" spans="1:24" x14ac:dyDescent="0.25">
      <c r="A13" s="39" t="s">
        <v>26</v>
      </c>
      <c r="B13" s="120" t="str">
        <f t="shared" si="0"/>
        <v/>
      </c>
      <c r="C13" s="121"/>
      <c r="D13" s="37">
        <v>0</v>
      </c>
      <c r="E13" s="103"/>
      <c r="F13" s="37"/>
      <c r="G13" s="37"/>
      <c r="H13" s="37"/>
      <c r="I13" s="37">
        <v>0</v>
      </c>
      <c r="J13" s="37">
        <v>0</v>
      </c>
      <c r="K13" s="37">
        <v>3</v>
      </c>
      <c r="L13" s="37"/>
      <c r="M13" s="37"/>
      <c r="N13" s="37">
        <v>0</v>
      </c>
      <c r="O13" s="37"/>
      <c r="P13" s="37"/>
      <c r="Q13" s="37"/>
      <c r="R13" s="37"/>
      <c r="S13" s="37"/>
      <c r="T13" s="37"/>
      <c r="U13" s="37"/>
      <c r="V13" s="37"/>
      <c r="W13" s="58"/>
      <c r="X13" s="1"/>
    </row>
    <row r="14" spans="1:24" x14ac:dyDescent="0.25">
      <c r="A14" s="39" t="s">
        <v>25</v>
      </c>
      <c r="B14" s="120" t="str">
        <f t="shared" si="0"/>
        <v/>
      </c>
      <c r="C14" s="121"/>
      <c r="D14" s="37">
        <v>0</v>
      </c>
      <c r="E14" s="103"/>
      <c r="F14" s="37"/>
      <c r="G14" s="37"/>
      <c r="H14" s="37">
        <v>98</v>
      </c>
      <c r="I14" s="37">
        <v>0</v>
      </c>
      <c r="J14" s="37">
        <v>0</v>
      </c>
      <c r="K14" s="37">
        <v>357</v>
      </c>
      <c r="L14" s="37"/>
      <c r="M14" s="37"/>
      <c r="N14" s="37">
        <v>65</v>
      </c>
      <c r="O14" s="37"/>
      <c r="P14" s="37"/>
      <c r="Q14" s="37"/>
      <c r="R14" s="37"/>
      <c r="S14" s="37"/>
      <c r="T14" s="37"/>
      <c r="U14" s="37"/>
      <c r="V14" s="37"/>
      <c r="W14" s="58"/>
    </row>
    <row r="15" spans="1:24" x14ac:dyDescent="0.25">
      <c r="A15" s="39" t="s">
        <v>100</v>
      </c>
      <c r="B15" s="120" t="str">
        <f t="shared" si="0"/>
        <v/>
      </c>
      <c r="C15" s="121"/>
      <c r="D15" s="37">
        <v>0</v>
      </c>
      <c r="E15" s="103"/>
      <c r="F15" s="37"/>
      <c r="G15" s="37"/>
      <c r="H15" s="37"/>
      <c r="I15" s="37">
        <v>0</v>
      </c>
      <c r="J15" s="37">
        <v>0</v>
      </c>
      <c r="K15" s="37"/>
      <c r="L15" s="37"/>
      <c r="M15" s="37"/>
      <c r="N15" s="37">
        <v>0</v>
      </c>
      <c r="O15" s="37"/>
      <c r="P15" s="37"/>
      <c r="Q15" s="37"/>
      <c r="R15" s="37"/>
      <c r="S15" s="37"/>
      <c r="T15" s="37"/>
      <c r="U15" s="37"/>
      <c r="V15" s="37"/>
      <c r="W15" s="58"/>
    </row>
    <row r="16" spans="1:24" x14ac:dyDescent="0.25">
      <c r="A16" s="39" t="s">
        <v>13</v>
      </c>
      <c r="B16" s="120" t="str">
        <f t="shared" si="0"/>
        <v/>
      </c>
      <c r="C16" s="121"/>
      <c r="D16" s="37">
        <v>0</v>
      </c>
      <c r="E16" s="103"/>
      <c r="F16" s="37"/>
      <c r="G16" s="37"/>
      <c r="H16" s="37"/>
      <c r="I16" s="37">
        <v>0</v>
      </c>
      <c r="J16" s="37">
        <v>0</v>
      </c>
      <c r="K16" s="37"/>
      <c r="L16" s="37"/>
      <c r="M16" s="37"/>
      <c r="N16" s="37">
        <v>0</v>
      </c>
      <c r="O16" s="37"/>
      <c r="P16" s="37"/>
      <c r="Q16" s="37"/>
      <c r="R16" s="37"/>
      <c r="S16" s="37"/>
      <c r="T16" s="37"/>
      <c r="U16" s="37"/>
      <c r="V16" s="37"/>
      <c r="W16" s="58"/>
    </row>
    <row r="17" spans="1:23" x14ac:dyDescent="0.25">
      <c r="A17" s="39" t="s">
        <v>34</v>
      </c>
      <c r="B17" s="120" t="str">
        <f t="shared" si="0"/>
        <v/>
      </c>
      <c r="C17" s="121"/>
      <c r="D17" s="37">
        <v>0</v>
      </c>
      <c r="E17" s="103"/>
      <c r="F17" s="37"/>
      <c r="G17" s="37"/>
      <c r="H17" s="37"/>
      <c r="I17" s="37">
        <v>0</v>
      </c>
      <c r="J17" s="37">
        <v>0</v>
      </c>
      <c r="K17" s="37"/>
      <c r="L17" s="37"/>
      <c r="M17" s="37"/>
      <c r="N17" s="37">
        <v>0</v>
      </c>
      <c r="O17" s="37"/>
      <c r="P17" s="37"/>
      <c r="Q17" s="37"/>
      <c r="R17" s="37"/>
      <c r="S17" s="37"/>
      <c r="T17" s="37"/>
      <c r="U17" s="37"/>
      <c r="V17" s="37"/>
      <c r="W17" s="58"/>
    </row>
    <row r="18" spans="1:23" x14ac:dyDescent="0.25">
      <c r="A18" s="39" t="s">
        <v>88</v>
      </c>
      <c r="B18" s="120" t="str">
        <f t="shared" si="0"/>
        <v/>
      </c>
      <c r="C18" s="121"/>
      <c r="D18" s="37">
        <v>0</v>
      </c>
      <c r="E18" s="103"/>
      <c r="F18" s="37"/>
      <c r="G18" s="37"/>
      <c r="H18" s="37">
        <v>362</v>
      </c>
      <c r="I18" s="37">
        <v>0</v>
      </c>
      <c r="J18" s="37">
        <v>0</v>
      </c>
      <c r="K18" s="37">
        <v>274</v>
      </c>
      <c r="L18" s="37"/>
      <c r="M18" s="37"/>
      <c r="N18" s="37">
        <v>113</v>
      </c>
      <c r="O18" s="37"/>
      <c r="P18" s="37"/>
      <c r="Q18" s="37"/>
      <c r="R18" s="37"/>
      <c r="S18" s="37"/>
      <c r="T18" s="37"/>
      <c r="U18" s="37"/>
      <c r="V18" s="37"/>
      <c r="W18" s="58"/>
    </row>
    <row r="19" spans="1:23" ht="13.8" thickBot="1" x14ac:dyDescent="0.3">
      <c r="A19" s="40" t="s">
        <v>6</v>
      </c>
      <c r="B19" s="142" t="str">
        <f t="shared" si="0"/>
        <v/>
      </c>
      <c r="C19" s="143"/>
      <c r="D19" s="37">
        <v>0</v>
      </c>
      <c r="E19" s="103"/>
      <c r="F19" s="37"/>
      <c r="G19" s="37"/>
      <c r="H19" s="37"/>
      <c r="I19" s="37">
        <v>0</v>
      </c>
      <c r="J19" s="37">
        <v>0</v>
      </c>
      <c r="K19" s="37">
        <v>11</v>
      </c>
      <c r="L19" s="37"/>
      <c r="M19" s="36"/>
      <c r="N19" s="36">
        <v>0</v>
      </c>
      <c r="O19" s="36"/>
      <c r="P19" s="36"/>
      <c r="Q19" s="36"/>
      <c r="R19" s="36"/>
      <c r="S19" s="36"/>
      <c r="T19" s="36"/>
      <c r="U19" s="36"/>
      <c r="V19" s="36"/>
      <c r="W19" s="59"/>
    </row>
    <row r="20" spans="1:23" ht="13.8" thickBot="1" x14ac:dyDescent="0.3">
      <c r="A20" s="41" t="s">
        <v>93</v>
      </c>
      <c r="B20" s="144" t="str">
        <f t="shared" si="0"/>
        <v/>
      </c>
      <c r="C20" s="138"/>
      <c r="D20" s="42">
        <v>0</v>
      </c>
      <c r="E20" s="108">
        <f t="shared" ref="E20" si="1">SUM(E2:E19)</f>
        <v>0</v>
      </c>
      <c r="F20" s="42"/>
      <c r="G20" s="42"/>
      <c r="H20" s="42">
        <f>SUM(H2:H19)</f>
        <v>460</v>
      </c>
      <c r="I20" s="42">
        <f>SUM(I2:I19)</f>
        <v>0</v>
      </c>
      <c r="J20" s="42">
        <f>SUM(J2:J19)</f>
        <v>0</v>
      </c>
      <c r="K20" s="42">
        <f>SUM(K2:K19)</f>
        <v>660</v>
      </c>
      <c r="L20" s="42">
        <v>0</v>
      </c>
      <c r="M20" s="42"/>
      <c r="N20" s="42">
        <f>SUM(N2:N19)</f>
        <v>178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f>SUM(T2:T19)</f>
        <v>0</v>
      </c>
      <c r="U20" s="42">
        <f>SUM(U2:U19)</f>
        <v>0</v>
      </c>
      <c r="V20" s="42">
        <f>SUM(V2:V19)</f>
        <v>0</v>
      </c>
      <c r="W20" s="34">
        <f>SUM(W2:W19)</f>
        <v>0</v>
      </c>
    </row>
    <row r="21" spans="1:23" x14ac:dyDescent="0.25">
      <c r="B21" s="140"/>
      <c r="C21" s="140"/>
    </row>
    <row r="22" spans="1:23" ht="13.8" thickBot="1" x14ac:dyDescent="0.3">
      <c r="B22" s="145"/>
      <c r="C22" s="145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47" customFormat="1" ht="13.8" thickBot="1" x14ac:dyDescent="0.3">
      <c r="A23" s="48" t="s">
        <v>122</v>
      </c>
      <c r="B23" s="119" t="s">
        <v>170</v>
      </c>
      <c r="C23" s="96" t="s">
        <v>171</v>
      </c>
      <c r="D23" s="97" t="s">
        <v>168</v>
      </c>
      <c r="E23" s="105">
        <v>45839</v>
      </c>
      <c r="F23" s="95">
        <v>45474</v>
      </c>
      <c r="G23" s="95">
        <v>45108</v>
      </c>
      <c r="H23" s="95">
        <v>44743</v>
      </c>
      <c r="I23" s="95">
        <v>44378</v>
      </c>
      <c r="J23" s="95">
        <v>44013</v>
      </c>
      <c r="K23" s="95">
        <v>43647</v>
      </c>
      <c r="L23" s="95">
        <v>43282</v>
      </c>
      <c r="M23" s="24">
        <v>42917</v>
      </c>
      <c r="N23" s="24">
        <v>42552</v>
      </c>
      <c r="O23" s="24">
        <v>42186</v>
      </c>
      <c r="P23" s="24">
        <v>41821</v>
      </c>
      <c r="Q23" s="24">
        <v>41456</v>
      </c>
      <c r="R23" s="24">
        <v>41091</v>
      </c>
      <c r="S23" s="24">
        <v>40725</v>
      </c>
      <c r="T23" s="24">
        <v>40360</v>
      </c>
      <c r="U23" s="24">
        <v>39995</v>
      </c>
      <c r="V23" s="24">
        <v>39630</v>
      </c>
      <c r="W23" s="25">
        <v>39264</v>
      </c>
    </row>
    <row r="24" spans="1:23" s="47" customFormat="1" x14ac:dyDescent="0.25">
      <c r="A24" s="49" t="s">
        <v>7</v>
      </c>
      <c r="B24" s="128" t="str">
        <f t="shared" ref="B24:B27" si="2">IFERROR(((E24-F24)/F24),"")</f>
        <v/>
      </c>
      <c r="C24" s="129"/>
      <c r="D24" s="51">
        <v>0</v>
      </c>
      <c r="E24" s="99"/>
      <c r="F24" s="51"/>
      <c r="G24" s="51"/>
      <c r="H24" s="51">
        <v>0</v>
      </c>
      <c r="I24" s="51">
        <v>0</v>
      </c>
      <c r="J24" s="51">
        <v>0</v>
      </c>
      <c r="K24" s="51">
        <v>0</v>
      </c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60"/>
    </row>
    <row r="25" spans="1:23" s="47" customFormat="1" x14ac:dyDescent="0.25">
      <c r="A25" s="49" t="s">
        <v>159</v>
      </c>
      <c r="B25" s="128" t="str">
        <f t="shared" si="2"/>
        <v/>
      </c>
      <c r="C25" s="129"/>
      <c r="D25" s="51">
        <v>0</v>
      </c>
      <c r="E25" s="99"/>
      <c r="F25" s="51"/>
      <c r="G25" s="51"/>
      <c r="H25" s="51">
        <v>0</v>
      </c>
      <c r="I25" s="51">
        <v>0</v>
      </c>
      <c r="J25" s="51">
        <v>0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60"/>
    </row>
    <row r="26" spans="1:23" s="47" customFormat="1" ht="13.8" thickBot="1" x14ac:dyDescent="0.3">
      <c r="A26" s="52" t="s">
        <v>6</v>
      </c>
      <c r="B26" s="146" t="str">
        <f t="shared" si="2"/>
        <v/>
      </c>
      <c r="C26" s="129"/>
      <c r="D26" s="51">
        <v>0</v>
      </c>
      <c r="E26" s="99"/>
      <c r="F26" s="51"/>
      <c r="G26" s="51"/>
      <c r="H26" s="51">
        <v>0</v>
      </c>
      <c r="I26" s="51">
        <v>0</v>
      </c>
      <c r="J26" s="51">
        <v>0</v>
      </c>
      <c r="K26" s="51">
        <v>0</v>
      </c>
      <c r="L26" s="51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61"/>
    </row>
    <row r="27" spans="1:23" s="47" customFormat="1" ht="13.8" thickBot="1" x14ac:dyDescent="0.3">
      <c r="A27" s="55" t="s">
        <v>93</v>
      </c>
      <c r="B27" s="56" t="str">
        <f t="shared" si="2"/>
        <v/>
      </c>
      <c r="C27" s="141"/>
      <c r="D27" s="75">
        <v>0</v>
      </c>
      <c r="E27" s="101"/>
      <c r="F27" s="75"/>
      <c r="G27" s="75"/>
      <c r="H27" s="75">
        <v>0</v>
      </c>
      <c r="I27" s="75">
        <v>0</v>
      </c>
      <c r="J27" s="75">
        <f>SUM(J24:J26)</f>
        <v>0</v>
      </c>
      <c r="K27" s="75">
        <f>SUM(K24:K26)</f>
        <v>0</v>
      </c>
      <c r="L27" s="75">
        <v>0</v>
      </c>
      <c r="M27" s="75"/>
      <c r="N27" s="75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5">
        <f>SUM(U24:U26)</f>
        <v>0</v>
      </c>
      <c r="V27" s="57">
        <f>SUM(V24:V26)</f>
        <v>0</v>
      </c>
      <c r="W27" s="62">
        <f>SUM(W24:W26)</f>
        <v>0</v>
      </c>
    </row>
    <row r="28" spans="1:23" s="47" customFormat="1" x14ac:dyDescent="0.25"/>
    <row r="29" spans="1:23" s="47" customFormat="1" x14ac:dyDescent="0.25">
      <c r="A29"/>
      <c r="B29"/>
      <c r="C29"/>
      <c r="D29"/>
      <c r="E29"/>
    </row>
    <row r="30" spans="1:23" s="47" customFormat="1" x14ac:dyDescent="0.25">
      <c r="A30"/>
      <c r="B30"/>
      <c r="C30"/>
      <c r="D30"/>
      <c r="E30"/>
    </row>
  </sheetData>
  <conditionalFormatting sqref="E1">
    <cfRule type="expression" dxfId="19" priority="2">
      <formula>ISBLANK(XFD1)=FALSE</formula>
    </cfRule>
  </conditionalFormatting>
  <conditionalFormatting sqref="E23">
    <cfRule type="expression" dxfId="18" priority="1">
      <formula>ISBLANK(XFD23)=FALSE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8"/>
  <sheetViews>
    <sheetView zoomScaleNormal="100" workbookViewId="0"/>
  </sheetViews>
  <sheetFormatPr defaultColWidth="9.109375" defaultRowHeight="13.2" x14ac:dyDescent="0.25"/>
  <cols>
    <col min="1" max="1" width="24.6640625" customWidth="1"/>
    <col min="2" max="2" width="10.6640625" customWidth="1"/>
    <col min="3" max="3" width="11.6640625" bestFit="1" customWidth="1"/>
    <col min="4" max="4" width="11.33203125" bestFit="1" customWidth="1"/>
    <col min="5" max="5" width="11.33203125" customWidth="1"/>
    <col min="6" max="12" width="11.44140625" customWidth="1"/>
    <col min="13" max="20" width="10.109375" bestFit="1" customWidth="1"/>
  </cols>
  <sheetData>
    <row r="1" spans="1:21" ht="13.8" thickBot="1" x14ac:dyDescent="0.3">
      <c r="A1" s="38" t="s">
        <v>92</v>
      </c>
      <c r="B1" s="119" t="s">
        <v>170</v>
      </c>
      <c r="C1" s="96" t="s">
        <v>171</v>
      </c>
      <c r="D1" s="97" t="s">
        <v>168</v>
      </c>
      <c r="E1" s="105">
        <v>45839</v>
      </c>
      <c r="F1" s="95">
        <v>45474</v>
      </c>
      <c r="G1" s="95">
        <v>45108</v>
      </c>
      <c r="H1" s="95">
        <v>44743</v>
      </c>
      <c r="I1" s="95">
        <v>44378</v>
      </c>
      <c r="J1" s="95">
        <v>44013</v>
      </c>
      <c r="K1" s="95">
        <v>43647</v>
      </c>
      <c r="L1" s="95">
        <v>43282</v>
      </c>
      <c r="M1" s="24">
        <v>42917</v>
      </c>
      <c r="N1" s="24">
        <v>42552</v>
      </c>
      <c r="O1" s="24">
        <v>42186</v>
      </c>
      <c r="P1" s="24">
        <v>41821</v>
      </c>
      <c r="Q1" s="24">
        <v>41456</v>
      </c>
      <c r="R1" s="24">
        <v>41091</v>
      </c>
      <c r="S1" s="24">
        <v>40725</v>
      </c>
      <c r="T1" s="25">
        <v>40360</v>
      </c>
    </row>
    <row r="2" spans="1:21" x14ac:dyDescent="0.25">
      <c r="A2" s="39" t="s">
        <v>121</v>
      </c>
      <c r="B2" s="43">
        <f t="shared" ref="B2:B26" si="0">IFERROR(((E2-F2)/F2),"")</f>
        <v>2.6086437768240343</v>
      </c>
      <c r="C2" s="66">
        <v>-1029.2556999999999</v>
      </c>
      <c r="D2" s="37">
        <v>-893</v>
      </c>
      <c r="E2" s="103">
        <v>1681.6279999999999</v>
      </c>
      <c r="F2" s="37">
        <v>466</v>
      </c>
      <c r="G2" s="37">
        <v>908</v>
      </c>
      <c r="H2" s="37">
        <v>202</v>
      </c>
      <c r="I2" s="37">
        <v>803</v>
      </c>
      <c r="J2" s="37">
        <v>551</v>
      </c>
      <c r="K2" s="37">
        <v>429</v>
      </c>
      <c r="L2" s="37">
        <v>34</v>
      </c>
      <c r="M2" s="94">
        <v>583</v>
      </c>
      <c r="N2" s="94">
        <v>192</v>
      </c>
      <c r="O2" s="94">
        <v>131</v>
      </c>
      <c r="P2" s="94">
        <v>1751</v>
      </c>
      <c r="Q2" s="94">
        <v>21</v>
      </c>
      <c r="R2" s="94">
        <v>346</v>
      </c>
      <c r="S2" s="94">
        <v>21</v>
      </c>
      <c r="T2" s="88"/>
    </row>
    <row r="3" spans="1:21" x14ac:dyDescent="0.25">
      <c r="A3" s="39" t="s">
        <v>126</v>
      </c>
      <c r="B3" s="43">
        <f t="shared" si="0"/>
        <v>-0.78547528029898561</v>
      </c>
      <c r="C3" s="66">
        <v>-966.65320000000008</v>
      </c>
      <c r="D3" s="37">
        <v>-1707</v>
      </c>
      <c r="E3" s="103">
        <v>401.8048</v>
      </c>
      <c r="F3" s="37">
        <v>1873</v>
      </c>
      <c r="G3" s="37">
        <v>385</v>
      </c>
      <c r="H3" s="37">
        <v>3643</v>
      </c>
      <c r="I3" s="37">
        <v>291</v>
      </c>
      <c r="J3" s="37">
        <v>1848</v>
      </c>
      <c r="K3" s="37">
        <v>1353</v>
      </c>
      <c r="L3" s="37">
        <v>60</v>
      </c>
      <c r="M3" s="94">
        <v>2009</v>
      </c>
      <c r="N3" s="94">
        <v>1321</v>
      </c>
      <c r="O3" s="94">
        <v>650</v>
      </c>
      <c r="P3" s="94">
        <v>7229</v>
      </c>
      <c r="Q3" s="94">
        <v>430</v>
      </c>
      <c r="R3" s="94">
        <v>1228</v>
      </c>
      <c r="S3" s="94">
        <v>2630</v>
      </c>
      <c r="T3" s="88">
        <v>3568</v>
      </c>
    </row>
    <row r="4" spans="1:21" x14ac:dyDescent="0.25">
      <c r="A4" s="39" t="s">
        <v>4</v>
      </c>
      <c r="B4" s="43" t="str">
        <f t="shared" si="0"/>
        <v/>
      </c>
      <c r="C4" s="66">
        <v>-23.274699999999999</v>
      </c>
      <c r="D4" s="37">
        <v>-1</v>
      </c>
      <c r="E4" s="103"/>
      <c r="F4" s="37"/>
      <c r="G4" s="37"/>
      <c r="H4" s="37">
        <v>21</v>
      </c>
      <c r="I4" s="37">
        <v>0</v>
      </c>
      <c r="J4" s="37">
        <v>0</v>
      </c>
      <c r="K4" s="37">
        <v>97</v>
      </c>
      <c r="L4" s="37">
        <v>0</v>
      </c>
      <c r="M4" s="37">
        <v>133</v>
      </c>
      <c r="N4" s="37">
        <v>0</v>
      </c>
      <c r="O4" s="37">
        <v>0</v>
      </c>
      <c r="P4" s="37">
        <v>51</v>
      </c>
      <c r="Q4" s="37"/>
      <c r="R4" s="37"/>
      <c r="S4" s="37"/>
      <c r="T4" s="58">
        <v>0</v>
      </c>
    </row>
    <row r="5" spans="1:21" x14ac:dyDescent="0.25">
      <c r="A5" s="39" t="s">
        <v>11</v>
      </c>
      <c r="B5" s="43">
        <f t="shared" si="0"/>
        <v>0.48300261306532671</v>
      </c>
      <c r="C5" s="66">
        <v>-2188.7379000000001</v>
      </c>
      <c r="D5" s="37">
        <v>-358</v>
      </c>
      <c r="E5" s="103">
        <v>1475.5876000000001</v>
      </c>
      <c r="F5" s="37">
        <v>995</v>
      </c>
      <c r="G5" s="37">
        <v>274</v>
      </c>
      <c r="H5" s="37">
        <v>1064</v>
      </c>
      <c r="I5" s="37">
        <v>2249</v>
      </c>
      <c r="J5" s="37">
        <v>442</v>
      </c>
      <c r="K5" s="37">
        <v>803</v>
      </c>
      <c r="L5" s="37">
        <v>76</v>
      </c>
      <c r="M5" s="37">
        <v>1135</v>
      </c>
      <c r="N5" s="37">
        <v>346</v>
      </c>
      <c r="O5" s="37">
        <v>662</v>
      </c>
      <c r="P5" s="37">
        <v>1769</v>
      </c>
      <c r="Q5" s="37">
        <v>114</v>
      </c>
      <c r="R5" s="37">
        <v>1131</v>
      </c>
      <c r="S5" s="37">
        <v>180</v>
      </c>
      <c r="T5" s="58">
        <v>967</v>
      </c>
    </row>
    <row r="6" spans="1:21" x14ac:dyDescent="0.25">
      <c r="A6" s="39" t="s">
        <v>28</v>
      </c>
      <c r="B6" s="43" t="str">
        <f t="shared" si="0"/>
        <v/>
      </c>
      <c r="C6" s="66">
        <v>0</v>
      </c>
      <c r="D6" s="37">
        <v>0</v>
      </c>
      <c r="E6" s="103"/>
      <c r="F6" s="37"/>
      <c r="G6" s="37"/>
      <c r="H6" s="37"/>
      <c r="I6" s="37"/>
      <c r="J6" s="37"/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/>
      <c r="R6" s="37">
        <v>32</v>
      </c>
      <c r="S6" s="37">
        <v>230</v>
      </c>
      <c r="T6" s="58">
        <v>53</v>
      </c>
    </row>
    <row r="7" spans="1:21" x14ac:dyDescent="0.25">
      <c r="A7" s="39" t="s">
        <v>151</v>
      </c>
      <c r="B7" s="43">
        <f t="shared" si="0"/>
        <v>8.499104347826087</v>
      </c>
      <c r="C7" s="66">
        <v>-1732.3543999999999</v>
      </c>
      <c r="D7" s="37">
        <v>-1886</v>
      </c>
      <c r="E7" s="103">
        <v>1529.3558</v>
      </c>
      <c r="F7" s="37">
        <v>161</v>
      </c>
      <c r="G7" s="37">
        <v>23</v>
      </c>
      <c r="H7" s="37">
        <v>1034</v>
      </c>
      <c r="I7" s="37">
        <v>688</v>
      </c>
      <c r="J7" s="37">
        <v>798</v>
      </c>
      <c r="K7" s="37">
        <v>1496</v>
      </c>
      <c r="L7" s="37">
        <v>123</v>
      </c>
      <c r="M7" s="37">
        <v>590</v>
      </c>
      <c r="N7" s="37">
        <v>803</v>
      </c>
      <c r="O7" s="37">
        <v>282</v>
      </c>
      <c r="P7" s="37">
        <v>70</v>
      </c>
      <c r="Q7" s="37"/>
      <c r="R7" s="37">
        <v>670</v>
      </c>
      <c r="S7" s="37">
        <v>12</v>
      </c>
      <c r="T7" s="58"/>
    </row>
    <row r="8" spans="1:21" x14ac:dyDescent="0.25">
      <c r="A8" s="39" t="s">
        <v>61</v>
      </c>
      <c r="B8" s="43">
        <f t="shared" si="0"/>
        <v>1.3031760176017602</v>
      </c>
      <c r="C8" s="66">
        <v>-7241.1771000000008</v>
      </c>
      <c r="D8" s="37">
        <v>-5965</v>
      </c>
      <c r="E8" s="103">
        <v>2093.587</v>
      </c>
      <c r="F8" s="37">
        <v>909</v>
      </c>
      <c r="G8" s="37">
        <v>1218</v>
      </c>
      <c r="H8" s="37">
        <v>1763</v>
      </c>
      <c r="I8" s="37">
        <v>2868</v>
      </c>
      <c r="J8" s="37">
        <v>4032</v>
      </c>
      <c r="K8" s="37">
        <v>168</v>
      </c>
      <c r="L8" s="37">
        <v>298</v>
      </c>
      <c r="M8" s="37">
        <v>1679</v>
      </c>
      <c r="N8" s="37">
        <v>247</v>
      </c>
      <c r="O8" s="37">
        <v>177</v>
      </c>
      <c r="P8" s="37">
        <v>1657</v>
      </c>
      <c r="Q8" s="37"/>
      <c r="R8" s="37">
        <v>11</v>
      </c>
      <c r="S8" s="37">
        <v>330</v>
      </c>
      <c r="T8" s="58">
        <v>1155</v>
      </c>
    </row>
    <row r="9" spans="1:21" x14ac:dyDescent="0.25">
      <c r="A9" s="39" t="s">
        <v>2</v>
      </c>
      <c r="B9" s="43">
        <f t="shared" si="0"/>
        <v>-1</v>
      </c>
      <c r="C9" s="66">
        <v>0</v>
      </c>
      <c r="D9" s="37">
        <v>-35</v>
      </c>
      <c r="E9" s="103">
        <v>0</v>
      </c>
      <c r="F9" s="37">
        <v>30</v>
      </c>
      <c r="G9" s="37"/>
      <c r="H9" s="37">
        <v>21</v>
      </c>
      <c r="I9" s="37">
        <v>24</v>
      </c>
      <c r="J9" s="37">
        <v>101</v>
      </c>
      <c r="K9" s="37">
        <v>317</v>
      </c>
      <c r="L9" s="37">
        <v>0</v>
      </c>
      <c r="M9" s="37">
        <v>10</v>
      </c>
      <c r="N9" s="37">
        <v>2</v>
      </c>
      <c r="O9" s="37">
        <v>10</v>
      </c>
      <c r="P9" s="37">
        <v>49</v>
      </c>
      <c r="Q9" s="37">
        <v>30</v>
      </c>
      <c r="R9" s="37"/>
      <c r="S9" s="37"/>
      <c r="T9" s="58">
        <v>0</v>
      </c>
    </row>
    <row r="10" spans="1:21" x14ac:dyDescent="0.25">
      <c r="A10" s="39" t="s">
        <v>12</v>
      </c>
      <c r="B10" s="43">
        <f t="shared" si="0"/>
        <v>-0.7069917404129793</v>
      </c>
      <c r="C10" s="66">
        <v>-568.64300000000003</v>
      </c>
      <c r="D10" s="37">
        <v>-1150</v>
      </c>
      <c r="E10" s="103">
        <v>198.65960000000001</v>
      </c>
      <c r="F10" s="37">
        <v>678</v>
      </c>
      <c r="G10" s="37">
        <v>276</v>
      </c>
      <c r="H10" s="37">
        <v>2235</v>
      </c>
      <c r="I10" s="37">
        <v>791</v>
      </c>
      <c r="J10" s="37">
        <v>1885</v>
      </c>
      <c r="K10" s="37">
        <v>520</v>
      </c>
      <c r="L10" s="37">
        <v>250</v>
      </c>
      <c r="M10" s="37">
        <v>600</v>
      </c>
      <c r="N10" s="37">
        <v>701</v>
      </c>
      <c r="O10" s="37">
        <v>323</v>
      </c>
      <c r="P10" s="37">
        <v>3067</v>
      </c>
      <c r="Q10" s="37">
        <v>222</v>
      </c>
      <c r="R10" s="37">
        <v>676</v>
      </c>
      <c r="S10" s="37">
        <v>678</v>
      </c>
      <c r="T10" s="58">
        <v>900</v>
      </c>
    </row>
    <row r="11" spans="1:21" x14ac:dyDescent="0.25">
      <c r="A11" s="39" t="s">
        <v>9</v>
      </c>
      <c r="B11" s="43">
        <f t="shared" si="0"/>
        <v>0.34119940014114325</v>
      </c>
      <c r="C11" s="66">
        <v>-2699.1709000000001</v>
      </c>
      <c r="D11" s="37">
        <v>-3389</v>
      </c>
      <c r="E11" s="103">
        <v>3800.9591</v>
      </c>
      <c r="F11" s="37">
        <v>2834</v>
      </c>
      <c r="G11" s="37">
        <v>4157</v>
      </c>
      <c r="H11" s="37">
        <v>8623</v>
      </c>
      <c r="I11" s="37">
        <v>7617</v>
      </c>
      <c r="J11" s="37">
        <v>4551</v>
      </c>
      <c r="K11" s="37">
        <v>6287</v>
      </c>
      <c r="L11" s="37">
        <v>426</v>
      </c>
      <c r="M11" s="37">
        <v>2771</v>
      </c>
      <c r="N11" s="37">
        <v>446</v>
      </c>
      <c r="O11" s="37">
        <v>2486</v>
      </c>
      <c r="P11" s="37">
        <v>1257</v>
      </c>
      <c r="Q11" s="37">
        <v>1023</v>
      </c>
      <c r="R11" s="37">
        <v>2187</v>
      </c>
      <c r="S11" s="37">
        <v>1312</v>
      </c>
      <c r="T11" s="58">
        <v>2074</v>
      </c>
    </row>
    <row r="12" spans="1:21" x14ac:dyDescent="0.25">
      <c r="A12" s="39" t="s">
        <v>3</v>
      </c>
      <c r="B12" s="43">
        <f t="shared" si="0"/>
        <v>-3.8626760141282197E-2</v>
      </c>
      <c r="C12" s="66">
        <v>-17895.792000000001</v>
      </c>
      <c r="D12" s="37">
        <v>-16131</v>
      </c>
      <c r="E12" s="103">
        <v>44910.550900000002</v>
      </c>
      <c r="F12" s="37">
        <v>46715</v>
      </c>
      <c r="G12" s="37">
        <v>20183</v>
      </c>
      <c r="H12" s="37">
        <v>31984</v>
      </c>
      <c r="I12" s="37">
        <v>22169</v>
      </c>
      <c r="J12" s="37">
        <v>54415</v>
      </c>
      <c r="K12" s="37">
        <v>42721</v>
      </c>
      <c r="L12" s="37">
        <v>30792</v>
      </c>
      <c r="M12" s="37">
        <v>58345</v>
      </c>
      <c r="N12" s="37">
        <v>43448</v>
      </c>
      <c r="O12" s="37">
        <v>42083</v>
      </c>
      <c r="P12" s="37">
        <v>57898</v>
      </c>
      <c r="Q12" s="37">
        <v>6527</v>
      </c>
      <c r="R12" s="37">
        <v>36438</v>
      </c>
      <c r="S12" s="37">
        <v>34031</v>
      </c>
      <c r="T12" s="58">
        <v>24811</v>
      </c>
    </row>
    <row r="13" spans="1:21" x14ac:dyDescent="0.25">
      <c r="A13" s="39" t="s">
        <v>137</v>
      </c>
      <c r="B13" s="43">
        <f t="shared" si="0"/>
        <v>1.3333756329113926</v>
      </c>
      <c r="C13" s="66">
        <v>-320.41329999999994</v>
      </c>
      <c r="D13" s="37">
        <v>-206</v>
      </c>
      <c r="E13" s="103">
        <v>737.34670000000006</v>
      </c>
      <c r="F13" s="37">
        <v>316</v>
      </c>
      <c r="G13" s="37">
        <v>291</v>
      </c>
      <c r="H13" s="37">
        <v>113</v>
      </c>
      <c r="I13" s="37">
        <v>176</v>
      </c>
      <c r="J13" s="37">
        <v>423</v>
      </c>
      <c r="K13" s="37">
        <v>254</v>
      </c>
      <c r="L13" s="37">
        <v>12</v>
      </c>
      <c r="M13" s="37">
        <v>170</v>
      </c>
      <c r="N13" s="37">
        <v>14</v>
      </c>
      <c r="O13" s="37">
        <v>630</v>
      </c>
      <c r="P13" s="37">
        <v>1158</v>
      </c>
      <c r="Q13" s="37">
        <v>423</v>
      </c>
      <c r="R13" s="37">
        <v>197</v>
      </c>
      <c r="S13" s="37">
        <v>341</v>
      </c>
      <c r="T13" s="58">
        <v>463</v>
      </c>
    </row>
    <row r="14" spans="1:21" x14ac:dyDescent="0.25">
      <c r="A14" s="39" t="s">
        <v>17</v>
      </c>
      <c r="B14" s="43">
        <f t="shared" si="0"/>
        <v>-5.5950522088353438E-2</v>
      </c>
      <c r="C14" s="66">
        <v>-4970.6025</v>
      </c>
      <c r="D14" s="37">
        <v>-1759</v>
      </c>
      <c r="E14" s="103">
        <v>4701.3663999999999</v>
      </c>
      <c r="F14" s="37">
        <v>4980</v>
      </c>
      <c r="G14" s="37">
        <v>3145</v>
      </c>
      <c r="H14" s="37">
        <v>5999</v>
      </c>
      <c r="I14" s="37">
        <v>10529</v>
      </c>
      <c r="J14" s="37">
        <v>10726</v>
      </c>
      <c r="K14" s="37">
        <v>6110</v>
      </c>
      <c r="L14" s="37">
        <v>4149</v>
      </c>
      <c r="M14" s="37">
        <v>5485</v>
      </c>
      <c r="N14" s="37">
        <v>5004</v>
      </c>
      <c r="O14" s="37">
        <v>2296</v>
      </c>
      <c r="P14" s="37">
        <v>7584</v>
      </c>
      <c r="Q14" s="37">
        <v>1489</v>
      </c>
      <c r="R14" s="37">
        <v>1915</v>
      </c>
      <c r="S14" s="37">
        <v>1364</v>
      </c>
      <c r="T14" s="58">
        <v>2597</v>
      </c>
    </row>
    <row r="15" spans="1:21" x14ac:dyDescent="0.25">
      <c r="A15" s="39" t="s">
        <v>129</v>
      </c>
      <c r="B15" s="43">
        <f t="shared" si="0"/>
        <v>-1</v>
      </c>
      <c r="C15" s="66">
        <v>-31.136800000000001</v>
      </c>
      <c r="D15" s="37">
        <v>-434</v>
      </c>
      <c r="E15" s="103">
        <v>0</v>
      </c>
      <c r="F15" s="37">
        <v>368</v>
      </c>
      <c r="G15" s="37">
        <v>879</v>
      </c>
      <c r="H15" s="37">
        <v>1471</v>
      </c>
      <c r="I15" s="37">
        <v>84</v>
      </c>
      <c r="J15" s="37">
        <v>253</v>
      </c>
      <c r="K15" s="37">
        <v>296</v>
      </c>
      <c r="L15" s="37">
        <v>0</v>
      </c>
      <c r="M15" s="37">
        <v>534</v>
      </c>
      <c r="N15" s="37">
        <v>12</v>
      </c>
      <c r="O15" s="37">
        <v>126</v>
      </c>
      <c r="P15" s="37">
        <v>73</v>
      </c>
      <c r="Q15" s="37"/>
      <c r="R15" s="37">
        <v>435</v>
      </c>
      <c r="S15" s="37">
        <v>2</v>
      </c>
      <c r="T15" s="58">
        <v>98</v>
      </c>
    </row>
    <row r="16" spans="1:21" x14ac:dyDescent="0.25">
      <c r="A16" s="39" t="s">
        <v>10</v>
      </c>
      <c r="B16" s="43" t="str">
        <f t="shared" si="0"/>
        <v/>
      </c>
      <c r="C16" s="66">
        <v>0</v>
      </c>
      <c r="D16" s="37">
        <v>0</v>
      </c>
      <c r="E16" s="103"/>
      <c r="F16" s="37"/>
      <c r="G16" s="37"/>
      <c r="H16" s="37"/>
      <c r="I16" s="37">
        <v>433</v>
      </c>
      <c r="J16" s="37">
        <v>243</v>
      </c>
      <c r="K16" s="37">
        <v>229</v>
      </c>
      <c r="L16" s="37">
        <v>27</v>
      </c>
      <c r="M16" s="37">
        <v>127</v>
      </c>
      <c r="N16" s="37">
        <v>171</v>
      </c>
      <c r="O16" s="37">
        <v>110</v>
      </c>
      <c r="P16" s="37">
        <v>379</v>
      </c>
      <c r="Q16" s="37">
        <v>2</v>
      </c>
      <c r="R16" s="37">
        <v>479</v>
      </c>
      <c r="S16" s="37">
        <v>264</v>
      </c>
      <c r="T16" s="58">
        <v>219</v>
      </c>
      <c r="U16" s="1"/>
    </row>
    <row r="17" spans="1:21" x14ac:dyDescent="0.25">
      <c r="A17" s="39" t="s">
        <v>128</v>
      </c>
      <c r="B17" s="43">
        <f t="shared" si="0"/>
        <v>0.78284612822647781</v>
      </c>
      <c r="C17" s="66">
        <v>-2300.5691999999999</v>
      </c>
      <c r="D17" s="37">
        <v>-2502</v>
      </c>
      <c r="E17" s="103">
        <v>2141.1981999999998</v>
      </c>
      <c r="F17" s="37">
        <v>1201</v>
      </c>
      <c r="G17" s="37">
        <v>728</v>
      </c>
      <c r="H17" s="37">
        <v>4211</v>
      </c>
      <c r="I17" s="37">
        <v>408</v>
      </c>
      <c r="J17" s="37">
        <v>1746</v>
      </c>
      <c r="K17" s="37">
        <v>329</v>
      </c>
      <c r="L17" s="37">
        <v>44</v>
      </c>
      <c r="M17" s="37">
        <v>827</v>
      </c>
      <c r="N17" s="37">
        <v>223</v>
      </c>
      <c r="O17" s="37">
        <v>605</v>
      </c>
      <c r="P17" s="37">
        <v>520</v>
      </c>
      <c r="Q17" s="37"/>
      <c r="R17" s="37">
        <v>140</v>
      </c>
      <c r="S17" s="37">
        <v>158</v>
      </c>
      <c r="T17" s="58">
        <v>878</v>
      </c>
      <c r="U17" s="1"/>
    </row>
    <row r="18" spans="1:21" x14ac:dyDescent="0.25">
      <c r="A18" s="39" t="s">
        <v>26</v>
      </c>
      <c r="B18" s="43">
        <f t="shared" si="0"/>
        <v>0.29823883833494669</v>
      </c>
      <c r="C18" s="66">
        <v>-3049.2011999999995</v>
      </c>
      <c r="D18" s="37">
        <v>-320</v>
      </c>
      <c r="E18" s="103">
        <v>6705.4035999999996</v>
      </c>
      <c r="F18" s="37">
        <v>5165</v>
      </c>
      <c r="G18" s="37">
        <v>579</v>
      </c>
      <c r="H18" s="37">
        <v>9556</v>
      </c>
      <c r="I18" s="37">
        <v>2290</v>
      </c>
      <c r="J18" s="37">
        <v>2823</v>
      </c>
      <c r="K18" s="37">
        <v>2780</v>
      </c>
      <c r="L18" s="37">
        <v>865</v>
      </c>
      <c r="M18" s="37">
        <v>3162</v>
      </c>
      <c r="N18" s="37">
        <v>1550</v>
      </c>
      <c r="O18" s="37">
        <v>658</v>
      </c>
      <c r="P18" s="37">
        <v>2695</v>
      </c>
      <c r="Q18" s="37">
        <v>326</v>
      </c>
      <c r="R18" s="37">
        <v>2246</v>
      </c>
      <c r="S18" s="37">
        <v>1514</v>
      </c>
      <c r="T18" s="58">
        <v>1097</v>
      </c>
      <c r="U18" s="1"/>
    </row>
    <row r="19" spans="1:21" x14ac:dyDescent="0.25">
      <c r="A19" s="39" t="s">
        <v>120</v>
      </c>
      <c r="B19" s="43" t="str">
        <f t="shared" si="0"/>
        <v/>
      </c>
      <c r="C19" s="66"/>
      <c r="D19" s="37"/>
      <c r="E19" s="103"/>
      <c r="F19" s="37"/>
      <c r="G19" s="37"/>
      <c r="H19" s="37"/>
      <c r="I19" s="37">
        <v>63</v>
      </c>
      <c r="J19" s="37"/>
      <c r="K19" s="37">
        <v>0</v>
      </c>
      <c r="L19" s="37">
        <v>14</v>
      </c>
      <c r="M19" s="37">
        <v>0</v>
      </c>
      <c r="N19" s="37">
        <v>0</v>
      </c>
      <c r="O19" s="37">
        <v>0</v>
      </c>
      <c r="P19" s="37">
        <v>0</v>
      </c>
      <c r="Q19" s="37"/>
      <c r="R19" s="37">
        <v>0</v>
      </c>
      <c r="S19" s="37"/>
      <c r="T19" s="58">
        <v>0</v>
      </c>
    </row>
    <row r="20" spans="1:21" x14ac:dyDescent="0.25">
      <c r="A20" s="39" t="s">
        <v>89</v>
      </c>
      <c r="B20" s="43">
        <f t="shared" si="0"/>
        <v>2.4632936363636366</v>
      </c>
      <c r="C20" s="66">
        <v>-566.96100000000001</v>
      </c>
      <c r="D20" s="37">
        <v>-168</v>
      </c>
      <c r="E20" s="103">
        <v>761.92460000000005</v>
      </c>
      <c r="F20" s="37">
        <v>220</v>
      </c>
      <c r="G20" s="37"/>
      <c r="H20" s="37"/>
      <c r="I20" s="37">
        <v>954</v>
      </c>
      <c r="J20" s="37">
        <v>866</v>
      </c>
      <c r="K20" s="37">
        <v>660</v>
      </c>
      <c r="L20" s="37">
        <v>140</v>
      </c>
      <c r="M20" s="37">
        <v>773</v>
      </c>
      <c r="N20" s="37">
        <v>77</v>
      </c>
      <c r="O20" s="37">
        <v>154</v>
      </c>
      <c r="P20" s="37">
        <v>1554</v>
      </c>
      <c r="Q20" s="37"/>
      <c r="R20" s="37">
        <v>38</v>
      </c>
      <c r="S20" s="37">
        <v>100</v>
      </c>
      <c r="T20" s="58">
        <v>761</v>
      </c>
    </row>
    <row r="21" spans="1:21" x14ac:dyDescent="0.25">
      <c r="A21" s="39" t="s">
        <v>127</v>
      </c>
      <c r="B21" s="43">
        <f t="shared" si="0"/>
        <v>-0.80333043478260879</v>
      </c>
      <c r="C21" s="66">
        <v>-779.66079999999999</v>
      </c>
      <c r="D21" s="37">
        <v>-125</v>
      </c>
      <c r="E21" s="103">
        <v>72.374399999999994</v>
      </c>
      <c r="F21" s="37">
        <v>368</v>
      </c>
      <c r="G21" s="37">
        <v>182</v>
      </c>
      <c r="H21" s="37">
        <v>1314</v>
      </c>
      <c r="I21" s="37">
        <v>415</v>
      </c>
      <c r="J21" s="37">
        <v>549</v>
      </c>
      <c r="K21" s="37">
        <v>1169</v>
      </c>
      <c r="L21" s="37">
        <v>227</v>
      </c>
      <c r="M21" s="37">
        <v>502</v>
      </c>
      <c r="N21" s="37">
        <v>295</v>
      </c>
      <c r="O21" s="37">
        <v>161</v>
      </c>
      <c r="P21" s="37">
        <v>2651</v>
      </c>
      <c r="Q21" s="37">
        <v>486</v>
      </c>
      <c r="R21" s="37">
        <v>1597</v>
      </c>
      <c r="S21" s="37">
        <v>814</v>
      </c>
      <c r="T21" s="58">
        <v>1112</v>
      </c>
    </row>
    <row r="22" spans="1:21" x14ac:dyDescent="0.25">
      <c r="A22" s="39" t="s">
        <v>116</v>
      </c>
      <c r="B22" s="43" t="str">
        <f t="shared" si="0"/>
        <v/>
      </c>
      <c r="C22" s="66">
        <v>0</v>
      </c>
      <c r="D22" s="37">
        <v>0</v>
      </c>
      <c r="E22" s="103"/>
      <c r="F22" s="37"/>
      <c r="G22" s="37"/>
      <c r="H22" s="37"/>
      <c r="I22" s="37">
        <v>9</v>
      </c>
      <c r="J22" s="37">
        <v>229</v>
      </c>
      <c r="K22" s="37">
        <v>76</v>
      </c>
      <c r="L22" s="37">
        <v>8</v>
      </c>
      <c r="M22" s="37">
        <v>18</v>
      </c>
      <c r="N22" s="37">
        <v>64</v>
      </c>
      <c r="O22" s="37">
        <v>0</v>
      </c>
      <c r="P22" s="37">
        <v>289</v>
      </c>
      <c r="Q22" s="37"/>
      <c r="R22" s="37">
        <v>120</v>
      </c>
      <c r="S22" s="37">
        <v>0</v>
      </c>
      <c r="T22" s="58">
        <v>107</v>
      </c>
    </row>
    <row r="23" spans="1:21" x14ac:dyDescent="0.25">
      <c r="A23" s="39" t="s">
        <v>130</v>
      </c>
      <c r="B23" s="43" t="str">
        <f t="shared" si="0"/>
        <v/>
      </c>
      <c r="C23" s="66">
        <v>0</v>
      </c>
      <c r="D23" s="37">
        <v>0</v>
      </c>
      <c r="E23" s="103"/>
      <c r="F23" s="37"/>
      <c r="G23" s="37"/>
      <c r="H23" s="37"/>
      <c r="I23" s="37">
        <v>1869</v>
      </c>
      <c r="J23" s="37">
        <v>553</v>
      </c>
      <c r="K23" s="37">
        <v>2547</v>
      </c>
      <c r="L23" s="37">
        <v>184</v>
      </c>
      <c r="M23" s="37">
        <v>1060</v>
      </c>
      <c r="N23" s="37">
        <v>653</v>
      </c>
      <c r="O23" s="37">
        <v>806</v>
      </c>
      <c r="P23" s="37">
        <v>985</v>
      </c>
      <c r="Q23" s="37"/>
      <c r="R23" s="37">
        <v>473</v>
      </c>
      <c r="S23" s="37">
        <v>184</v>
      </c>
      <c r="T23" s="58">
        <v>373</v>
      </c>
    </row>
    <row r="24" spans="1:21" x14ac:dyDescent="0.25">
      <c r="A24" s="39" t="s">
        <v>125</v>
      </c>
      <c r="B24" s="43" t="str">
        <f t="shared" si="0"/>
        <v/>
      </c>
      <c r="C24" s="66">
        <v>-42.221999999999994</v>
      </c>
      <c r="D24" s="37">
        <v>0</v>
      </c>
      <c r="E24" s="103">
        <v>72.129300000000001</v>
      </c>
      <c r="F24" s="37">
        <v>0</v>
      </c>
      <c r="G24" s="37"/>
      <c r="H24" s="37">
        <v>463</v>
      </c>
      <c r="I24" s="37">
        <v>0</v>
      </c>
      <c r="J24" s="37">
        <v>0</v>
      </c>
      <c r="K24" s="37">
        <v>31</v>
      </c>
      <c r="L24" s="37">
        <v>0</v>
      </c>
      <c r="M24" s="37">
        <v>197</v>
      </c>
      <c r="N24" s="37">
        <v>0</v>
      </c>
      <c r="O24" s="37">
        <v>0</v>
      </c>
      <c r="P24" s="37">
        <v>29</v>
      </c>
      <c r="Q24" s="37"/>
      <c r="R24" s="37"/>
      <c r="S24" s="37">
        <v>126</v>
      </c>
      <c r="T24" s="58">
        <v>44</v>
      </c>
    </row>
    <row r="25" spans="1:21" ht="13.8" thickBot="1" x14ac:dyDescent="0.3">
      <c r="A25" s="40" t="s">
        <v>6</v>
      </c>
      <c r="B25" s="44">
        <f t="shared" si="0"/>
        <v>1.1674013348714569</v>
      </c>
      <c r="C25" s="67">
        <v>-8284.4262999999955</v>
      </c>
      <c r="D25" s="36">
        <v>-6771</v>
      </c>
      <c r="E25" s="98">
        <v>13151.791300000001</v>
      </c>
      <c r="F25" s="36">
        <v>6068</v>
      </c>
      <c r="G25" s="36">
        <v>6677</v>
      </c>
      <c r="H25" s="36">
        <v>6494</v>
      </c>
      <c r="I25" s="36">
        <v>0</v>
      </c>
      <c r="J25" s="36">
        <v>340</v>
      </c>
      <c r="K25" s="36">
        <v>562</v>
      </c>
      <c r="L25" s="36">
        <v>65</v>
      </c>
      <c r="M25" s="36">
        <v>119</v>
      </c>
      <c r="N25" s="36">
        <v>38</v>
      </c>
      <c r="O25" s="36">
        <v>70</v>
      </c>
      <c r="P25" s="36">
        <v>1273</v>
      </c>
      <c r="Q25" s="36">
        <v>955</v>
      </c>
      <c r="R25" s="36">
        <v>105</v>
      </c>
      <c r="S25" s="36">
        <v>243</v>
      </c>
      <c r="T25" s="59">
        <v>718</v>
      </c>
    </row>
    <row r="26" spans="1:21" ht="13.8" thickBot="1" x14ac:dyDescent="0.3">
      <c r="A26" s="38" t="s">
        <v>93</v>
      </c>
      <c r="B26" s="70">
        <f t="shared" si="0"/>
        <v>0.15118092491853793</v>
      </c>
      <c r="C26" s="124">
        <v>-54690.251999999949</v>
      </c>
      <c r="D26" s="79">
        <v>-43800</v>
      </c>
      <c r="E26" s="102">
        <f t="shared" ref="E26" si="1">SUM(E2:E25)</f>
        <v>84435.667300000001</v>
      </c>
      <c r="F26" s="79">
        <f>SUM(F2:F25)</f>
        <v>73347</v>
      </c>
      <c r="G26" s="79">
        <f>SUM(G2:G25)</f>
        <v>39905</v>
      </c>
      <c r="H26" s="79">
        <f>SUM(H2:H25)</f>
        <v>80211</v>
      </c>
      <c r="I26" s="79">
        <f t="shared" ref="I26:N26" si="2">SUM(I2:I25)</f>
        <v>54730</v>
      </c>
      <c r="J26" s="79">
        <f t="shared" si="2"/>
        <v>87374</v>
      </c>
      <c r="K26" s="79">
        <f t="shared" si="2"/>
        <v>69234</v>
      </c>
      <c r="L26" s="79">
        <f t="shared" si="2"/>
        <v>37794</v>
      </c>
      <c r="M26" s="42">
        <f t="shared" si="2"/>
        <v>80829</v>
      </c>
      <c r="N26" s="42">
        <f t="shared" si="2"/>
        <v>55607</v>
      </c>
      <c r="O26" s="42">
        <f t="shared" ref="O26:T26" si="3">SUM(O2:O25)</f>
        <v>52420</v>
      </c>
      <c r="P26" s="42">
        <f t="shared" si="3"/>
        <v>93988</v>
      </c>
      <c r="Q26" s="42">
        <f t="shared" si="3"/>
        <v>12048</v>
      </c>
      <c r="R26" s="42">
        <f t="shared" si="3"/>
        <v>50464</v>
      </c>
      <c r="S26" s="42">
        <f t="shared" si="3"/>
        <v>44534</v>
      </c>
      <c r="T26" s="82">
        <f t="shared" si="3"/>
        <v>41995</v>
      </c>
    </row>
    <row r="28" spans="1:21" s="47" customFormat="1" ht="13.8" thickBot="1" x14ac:dyDescent="0.3">
      <c r="A28" s="69"/>
    </row>
    <row r="29" spans="1:21" s="47" customFormat="1" ht="13.8" thickBot="1" x14ac:dyDescent="0.3">
      <c r="A29" s="38" t="s">
        <v>23</v>
      </c>
      <c r="B29" s="119" t="s">
        <v>170</v>
      </c>
      <c r="C29" s="96" t="s">
        <v>171</v>
      </c>
      <c r="D29" s="97" t="s">
        <v>168</v>
      </c>
      <c r="E29" s="105">
        <v>45839</v>
      </c>
      <c r="F29" s="95">
        <v>45474</v>
      </c>
      <c r="G29" s="95">
        <v>45108</v>
      </c>
      <c r="H29" s="95">
        <v>44743</v>
      </c>
      <c r="I29" s="95">
        <v>44378</v>
      </c>
      <c r="J29" s="95">
        <v>44013</v>
      </c>
      <c r="K29" s="95">
        <v>43647</v>
      </c>
      <c r="L29" s="95">
        <v>43282</v>
      </c>
      <c r="M29" s="24">
        <v>42917</v>
      </c>
      <c r="N29" s="24">
        <v>42552</v>
      </c>
      <c r="O29" s="24">
        <v>42186</v>
      </c>
      <c r="P29" s="24">
        <v>41821</v>
      </c>
      <c r="Q29" s="24">
        <v>41456</v>
      </c>
      <c r="R29" s="24">
        <v>41091</v>
      </c>
      <c r="S29" s="24">
        <v>40725</v>
      </c>
      <c r="T29" s="25">
        <v>40360</v>
      </c>
    </row>
    <row r="30" spans="1:21" x14ac:dyDescent="0.25">
      <c r="A30" s="49" t="s">
        <v>138</v>
      </c>
      <c r="B30" s="43">
        <f t="shared" ref="B30:B38" si="4">IFERROR(((E30-F30)/F30),"")</f>
        <v>1.8333333333333333</v>
      </c>
      <c r="C30" s="66">
        <v>-7.5000999999999998</v>
      </c>
      <c r="D30" s="37">
        <v>-23</v>
      </c>
      <c r="E30" s="103">
        <v>17</v>
      </c>
      <c r="F30" s="37">
        <v>6</v>
      </c>
      <c r="G30" s="37">
        <v>1</v>
      </c>
      <c r="H30" s="37">
        <v>21</v>
      </c>
      <c r="I30" s="37">
        <v>53</v>
      </c>
      <c r="J30" s="37">
        <v>34</v>
      </c>
      <c r="K30" s="37">
        <v>27</v>
      </c>
      <c r="L30" s="37">
        <v>108</v>
      </c>
      <c r="M30" s="94">
        <v>85</v>
      </c>
      <c r="N30">
        <v>28</v>
      </c>
      <c r="O30">
        <v>71</v>
      </c>
      <c r="P30">
        <v>685</v>
      </c>
      <c r="Q30">
        <v>0</v>
      </c>
      <c r="R30">
        <v>0</v>
      </c>
      <c r="S30" s="94"/>
      <c r="T30" s="88"/>
    </row>
    <row r="31" spans="1:21" x14ac:dyDescent="0.25">
      <c r="A31" s="49" t="s">
        <v>139</v>
      </c>
      <c r="B31" s="43" t="str">
        <f t="shared" si="4"/>
        <v/>
      </c>
      <c r="C31" s="66">
        <v>0</v>
      </c>
      <c r="D31" s="37">
        <v>0</v>
      </c>
      <c r="E31" s="103"/>
      <c r="F31" s="37"/>
      <c r="G31" s="37"/>
      <c r="H31" s="37"/>
      <c r="I31" s="37">
        <v>4</v>
      </c>
      <c r="J31" s="37"/>
      <c r="K31" s="37"/>
      <c r="L31" s="37"/>
      <c r="M31" s="94"/>
      <c r="N31" s="94"/>
      <c r="O31" s="94"/>
      <c r="P31" s="94"/>
      <c r="Q31" s="94"/>
      <c r="R31" s="94"/>
      <c r="S31" s="94"/>
      <c r="T31" s="88"/>
    </row>
    <row r="32" spans="1:21" x14ac:dyDescent="0.25">
      <c r="A32" s="49" t="s">
        <v>7</v>
      </c>
      <c r="B32" s="43">
        <f t="shared" si="4"/>
        <v>9.5511999999999997</v>
      </c>
      <c r="C32" s="66">
        <v>-71.107900000000001</v>
      </c>
      <c r="D32" s="37">
        <v>-2</v>
      </c>
      <c r="E32" s="103">
        <v>21.102399999999999</v>
      </c>
      <c r="F32" s="37">
        <v>2</v>
      </c>
      <c r="G32" s="37">
        <v>31</v>
      </c>
      <c r="H32" s="37">
        <v>107</v>
      </c>
      <c r="I32" s="37">
        <v>25</v>
      </c>
      <c r="J32" s="37">
        <v>26</v>
      </c>
      <c r="K32" s="37">
        <v>37</v>
      </c>
      <c r="L32" s="37">
        <v>161</v>
      </c>
      <c r="M32" s="37"/>
      <c r="N32" s="37">
        <v>3</v>
      </c>
      <c r="O32" s="37">
        <v>0</v>
      </c>
      <c r="P32" s="37">
        <v>39</v>
      </c>
      <c r="Q32" s="37">
        <v>0</v>
      </c>
      <c r="R32" s="37">
        <v>42</v>
      </c>
      <c r="S32" s="37"/>
      <c r="T32" s="58"/>
    </row>
    <row r="33" spans="1:20" x14ac:dyDescent="0.25">
      <c r="A33" s="49" t="s">
        <v>94</v>
      </c>
      <c r="B33" s="43">
        <f t="shared" si="4"/>
        <v>5.3242333333333329</v>
      </c>
      <c r="C33" s="66">
        <v>-4.5804000000000009</v>
      </c>
      <c r="D33" s="37">
        <v>0</v>
      </c>
      <c r="E33" s="103">
        <v>18.9727</v>
      </c>
      <c r="F33" s="37">
        <v>3</v>
      </c>
      <c r="G33" s="37">
        <v>8</v>
      </c>
      <c r="H33" s="37">
        <v>0</v>
      </c>
      <c r="I33" s="37"/>
      <c r="J33" s="37">
        <v>2</v>
      </c>
      <c r="K33" s="37">
        <v>0</v>
      </c>
      <c r="L33" s="37">
        <v>67</v>
      </c>
      <c r="M33" s="94"/>
      <c r="N33" s="94">
        <v>3</v>
      </c>
      <c r="O33" s="94">
        <v>3</v>
      </c>
      <c r="P33" s="94">
        <v>3</v>
      </c>
      <c r="Q33" s="94">
        <v>0</v>
      </c>
      <c r="R33" s="94">
        <v>0</v>
      </c>
      <c r="S33" s="37"/>
      <c r="T33" s="58"/>
    </row>
    <row r="34" spans="1:20" x14ac:dyDescent="0.25">
      <c r="A34" s="49" t="s">
        <v>140</v>
      </c>
      <c r="B34" s="43" t="str">
        <f t="shared" si="4"/>
        <v/>
      </c>
      <c r="C34" s="66">
        <v>0</v>
      </c>
      <c r="D34" s="37">
        <v>0</v>
      </c>
      <c r="E34" s="103">
        <v>0</v>
      </c>
      <c r="F34" s="37">
        <v>0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58"/>
    </row>
    <row r="35" spans="1:20" x14ac:dyDescent="0.25">
      <c r="A35" s="49" t="s">
        <v>141</v>
      </c>
      <c r="B35" s="43" t="str">
        <f t="shared" si="4"/>
        <v/>
      </c>
      <c r="C35" s="66">
        <v>-48.4422</v>
      </c>
      <c r="D35" s="37">
        <v>0</v>
      </c>
      <c r="E35" s="103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58"/>
    </row>
    <row r="36" spans="1:20" x14ac:dyDescent="0.25">
      <c r="A36" s="49" t="s">
        <v>142</v>
      </c>
      <c r="B36" s="43" t="str">
        <f t="shared" si="4"/>
        <v/>
      </c>
      <c r="C36" s="66">
        <v>0</v>
      </c>
      <c r="D36" s="37">
        <v>0</v>
      </c>
      <c r="E36" s="103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58"/>
    </row>
    <row r="37" spans="1:20" ht="13.8" thickBot="1" x14ac:dyDescent="0.3">
      <c r="A37" s="52" t="s">
        <v>6</v>
      </c>
      <c r="B37" s="44">
        <f t="shared" si="4"/>
        <v>-0.53846153846153844</v>
      </c>
      <c r="C37" s="67">
        <v>-17.321799999999996</v>
      </c>
      <c r="D37" s="36">
        <v>-22</v>
      </c>
      <c r="E37" s="98">
        <v>36</v>
      </c>
      <c r="F37" s="36">
        <v>78</v>
      </c>
      <c r="G37" s="36">
        <v>58</v>
      </c>
      <c r="H37" s="36">
        <v>24</v>
      </c>
      <c r="I37" s="36">
        <v>28</v>
      </c>
      <c r="J37" s="36">
        <v>13</v>
      </c>
      <c r="K37" s="36">
        <v>2</v>
      </c>
      <c r="L37" s="36"/>
      <c r="M37" s="36"/>
      <c r="N37" s="37">
        <v>1</v>
      </c>
      <c r="O37" s="37">
        <v>0</v>
      </c>
      <c r="P37" s="37">
        <v>7</v>
      </c>
      <c r="Q37" s="37">
        <v>0</v>
      </c>
      <c r="R37" s="37">
        <v>0</v>
      </c>
      <c r="S37" s="37"/>
      <c r="T37" s="58"/>
    </row>
    <row r="38" spans="1:20" ht="13.8" thickBot="1" x14ac:dyDescent="0.3">
      <c r="A38" s="38" t="s">
        <v>93</v>
      </c>
      <c r="B38" s="70">
        <f t="shared" si="4"/>
        <v>4.5787640449438269E-2</v>
      </c>
      <c r="C38" s="124">
        <v>-148.95240000000001</v>
      </c>
      <c r="D38" s="79">
        <v>-47</v>
      </c>
      <c r="E38" s="102">
        <f t="shared" ref="E38" si="5">SUM(E30:E37)</f>
        <v>93.075100000000006</v>
      </c>
      <c r="F38" s="79">
        <f t="shared" ref="F38:K38" si="6">SUM(F30:F37)</f>
        <v>89</v>
      </c>
      <c r="G38" s="79">
        <f t="shared" si="6"/>
        <v>98</v>
      </c>
      <c r="H38" s="79">
        <f t="shared" si="6"/>
        <v>152</v>
      </c>
      <c r="I38" s="79">
        <f t="shared" si="6"/>
        <v>110</v>
      </c>
      <c r="J38" s="79">
        <f t="shared" si="6"/>
        <v>75</v>
      </c>
      <c r="K38" s="79">
        <f t="shared" si="6"/>
        <v>66</v>
      </c>
      <c r="L38" s="79">
        <f t="shared" ref="L38:R38" si="7">SUM(L30:L37)</f>
        <v>336</v>
      </c>
      <c r="M38" s="33">
        <f t="shared" si="7"/>
        <v>85</v>
      </c>
      <c r="N38" s="42">
        <f t="shared" si="7"/>
        <v>35</v>
      </c>
      <c r="O38" s="42">
        <f t="shared" si="7"/>
        <v>74</v>
      </c>
      <c r="P38" s="42">
        <f t="shared" si="7"/>
        <v>734</v>
      </c>
      <c r="Q38" s="42">
        <f t="shared" si="7"/>
        <v>0</v>
      </c>
      <c r="R38" s="42">
        <f t="shared" si="7"/>
        <v>42</v>
      </c>
      <c r="S38" s="42">
        <v>87</v>
      </c>
      <c r="T38" s="82">
        <f>SUM(T30:T37)</f>
        <v>0</v>
      </c>
    </row>
  </sheetData>
  <conditionalFormatting sqref="E1">
    <cfRule type="expression" dxfId="17" priority="2">
      <formula>ISBLANK(XFD1)=FALSE</formula>
    </cfRule>
  </conditionalFormatting>
  <conditionalFormatting sqref="E29">
    <cfRule type="expression" dxfId="16" priority="1">
      <formula>ISBLANK(XFD29)=FALSE</formula>
    </cfRule>
  </conditionalFormatting>
  <pageMargins left="0.75" right="0.75" top="1" bottom="1" header="0.5" footer="0.5"/>
  <pageSetup paperSize="9" scale="66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9" ma:contentTypeDescription="Create a new document." ma:contentTypeScope="" ma:versionID="d415c4e6c21f07e0949d980b921a5823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9e6b2bb95aefe090df84aa629f99880c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B75A9F-D9FA-7F4C-BA2E-053C51C966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92C9AC-97C2-A949-90E9-36276D41013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A592C29-EAE9-48D7-9503-E08009C4D219}">
  <ds:schemaRefs>
    <ds:schemaRef ds:uri="http://purl.org/dc/dcmitype/"/>
    <ds:schemaRef ds:uri="http://purl.org/dc/terms/"/>
    <ds:schemaRef ds:uri="0302a5af-5ac8-462a-a23b-b4d1027da431"/>
    <ds:schemaRef ds:uri="http://schemas.openxmlformats.org/package/2006/metadata/core-properties"/>
    <ds:schemaRef ds:uri="5d5a9754-d989-458f-8bd1-64889b46f6fa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25AB194-EF8C-4DF9-9D1D-3DC5F269A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Switzerland</vt:lpstr>
      <vt:lpstr>Spain</vt:lpstr>
      <vt:lpstr>Netherlands</vt:lpstr>
      <vt:lpstr>UK</vt:lpstr>
      <vt:lpstr>'Europe - country'!Print_Area</vt:lpstr>
      <vt:lpstr>'Europe - variety'!Print_Area</vt:lpstr>
      <vt:lpstr>US!Print_Area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2010-03-23T13:31:44Z</cp:lastPrinted>
  <dcterms:created xsi:type="dcterms:W3CDTF">2006-12-13T13:34:27Z</dcterms:created>
  <dcterms:modified xsi:type="dcterms:W3CDTF">2025-07-18T15:54:20Z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424000.000000000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0x01010052B941D97F322B428ECE0E94A7E9CB38</vt:lpwstr>
  </property>
</Properties>
</file>