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reshfel365.sharepoint.com/sites/common1/Shared Documents/NEW SYSTEM/WAPA/Stocks/WAPA Stocks/Send/Second copies/"/>
    </mc:Choice>
  </mc:AlternateContent>
  <xr:revisionPtr revIDLastSave="1054" documentId="13_ncr:20001_{D0FC3CC0-D4F3-4890-9801-BB96C3BE711F}" xr6:coauthVersionLast="47" xr6:coauthVersionMax="47" xr10:uidLastSave="{C4F377E0-71D1-4024-BA58-FB504102EC74}"/>
  <bookViews>
    <workbookView xWindow="-108" yWindow="-108" windowWidth="23256" windowHeight="12456" tabRatio="857" activeTab="2" xr2:uid="{00000000-000D-0000-FFFF-FFFF00000000}"/>
  </bookViews>
  <sheets>
    <sheet name="Intro" sheetId="22" r:id="rId1"/>
    <sheet name="US" sheetId="9" r:id="rId2"/>
    <sheet name="Europe - country" sheetId="1" r:id="rId3"/>
    <sheet name="Europe - variety" sheetId="2" r:id="rId4"/>
    <sheet name="Austria" sheetId="25" r:id="rId5"/>
    <sheet name="Belgium" sheetId="26" r:id="rId6"/>
    <sheet name="Czech Republic" sheetId="27" r:id="rId7"/>
    <sheet name="Denmark" sheetId="28" r:id="rId8"/>
    <sheet name="France" sheetId="35" r:id="rId9"/>
    <sheet name="Germany" sheetId="29" r:id="rId10"/>
    <sheet name="Italy" sheetId="31" r:id="rId11"/>
    <sheet name="Poland" sheetId="36" r:id="rId12"/>
    <sheet name="Portugal" sheetId="38" state="hidden" r:id="rId13"/>
    <sheet name="Spain" sheetId="33" r:id="rId14"/>
    <sheet name="Switzerland" sheetId="34" r:id="rId15"/>
    <sheet name="Netherlands" sheetId="32" r:id="rId16"/>
    <sheet name="UK" sheetId="30" r:id="rId17"/>
  </sheets>
  <definedNames>
    <definedName name="_xlnm.Print_Area" localSheetId="2">'Europe - country'!$A$1:$X$38</definedName>
    <definedName name="_xlnm.Print_Area" localSheetId="3">'Europe - variety'!$A$1:$V$44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1" l="1"/>
  <c r="E19" i="31"/>
  <c r="F26" i="29" l="1"/>
  <c r="E26" i="29"/>
  <c r="E43" i="2" l="1"/>
  <c r="E41" i="2"/>
  <c r="E40" i="2"/>
  <c r="E39" i="2"/>
  <c r="E38" i="2"/>
  <c r="E37" i="2"/>
  <c r="E36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E24" i="1"/>
  <c r="E22" i="1"/>
  <c r="E20" i="1"/>
  <c r="E3" i="1"/>
  <c r="E2" i="1"/>
  <c r="E44" i="2" l="1"/>
  <c r="E32" i="2"/>
  <c r="B28" i="1"/>
  <c r="B22" i="1"/>
  <c r="B11" i="1"/>
  <c r="B10" i="1"/>
  <c r="B2" i="1"/>
  <c r="B40" i="9"/>
  <c r="B39" i="9"/>
  <c r="B38" i="9"/>
  <c r="B37" i="9"/>
  <c r="B36" i="9"/>
  <c r="B35" i="9"/>
  <c r="B34" i="9"/>
  <c r="B33" i="9"/>
  <c r="B32" i="9"/>
  <c r="B31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B2" i="9"/>
  <c r="B18" i="30"/>
  <c r="B17" i="30"/>
  <c r="B16" i="30"/>
  <c r="B11" i="30"/>
  <c r="B10" i="30"/>
  <c r="B9" i="30"/>
  <c r="B8" i="30"/>
  <c r="B7" i="30"/>
  <c r="B6" i="30"/>
  <c r="B5" i="30"/>
  <c r="B4" i="30"/>
  <c r="B3" i="30"/>
  <c r="B2" i="30"/>
  <c r="B14" i="32"/>
  <c r="B13" i="32"/>
  <c r="B12" i="32"/>
  <c r="B7" i="32"/>
  <c r="B6" i="32"/>
  <c r="B5" i="32"/>
  <c r="B4" i="32"/>
  <c r="B3" i="32"/>
  <c r="B2" i="32"/>
  <c r="B27" i="34"/>
  <c r="B26" i="34"/>
  <c r="B25" i="34"/>
  <c r="B24" i="34"/>
  <c r="B23" i="34"/>
  <c r="B18" i="34"/>
  <c r="B17" i="34"/>
  <c r="B16" i="34"/>
  <c r="B15" i="34"/>
  <c r="B14" i="34"/>
  <c r="B13" i="34"/>
  <c r="B12" i="34"/>
  <c r="B11" i="34"/>
  <c r="B10" i="34"/>
  <c r="B9" i="34"/>
  <c r="B8" i="34"/>
  <c r="B7" i="34"/>
  <c r="B6" i="34"/>
  <c r="B5" i="34"/>
  <c r="B4" i="34"/>
  <c r="B3" i="34"/>
  <c r="B2" i="34"/>
  <c r="B16" i="33"/>
  <c r="B15" i="33"/>
  <c r="B14" i="33"/>
  <c r="B13" i="33"/>
  <c r="B12" i="33"/>
  <c r="B7" i="33"/>
  <c r="B6" i="33"/>
  <c r="B5" i="33"/>
  <c r="B4" i="33"/>
  <c r="B3" i="33"/>
  <c r="B2" i="33"/>
  <c r="B24" i="36"/>
  <c r="B23" i="36"/>
  <c r="B22" i="36"/>
  <c r="B17" i="36"/>
  <c r="B16" i="36"/>
  <c r="B15" i="36"/>
  <c r="B14" i="36"/>
  <c r="B13" i="36"/>
  <c r="B12" i="36"/>
  <c r="B11" i="36"/>
  <c r="B10" i="36"/>
  <c r="B9" i="36"/>
  <c r="B8" i="36"/>
  <c r="B7" i="36"/>
  <c r="B6" i="36"/>
  <c r="B5" i="36"/>
  <c r="B4" i="36"/>
  <c r="B3" i="36"/>
  <c r="B2" i="36"/>
  <c r="B28" i="31"/>
  <c r="B27" i="31"/>
  <c r="B26" i="31"/>
  <c r="B25" i="31"/>
  <c r="B24" i="31"/>
  <c r="B19" i="31"/>
  <c r="B18" i="31"/>
  <c r="B17" i="31"/>
  <c r="B16" i="31"/>
  <c r="B15" i="31"/>
  <c r="B14" i="31"/>
  <c r="B13" i="31"/>
  <c r="B12" i="31"/>
  <c r="B11" i="31"/>
  <c r="B10" i="31"/>
  <c r="B9" i="31"/>
  <c r="B8" i="31"/>
  <c r="B7" i="31"/>
  <c r="B6" i="31"/>
  <c r="B5" i="31"/>
  <c r="B4" i="31"/>
  <c r="B3" i="31"/>
  <c r="B2" i="31"/>
  <c r="B26" i="29"/>
  <c r="B25" i="29"/>
  <c r="B20" i="29"/>
  <c r="B19" i="29"/>
  <c r="B18" i="29"/>
  <c r="B17" i="29"/>
  <c r="B16" i="29"/>
  <c r="B15" i="29"/>
  <c r="B14" i="29"/>
  <c r="B13" i="29"/>
  <c r="B12" i="29"/>
  <c r="B11" i="29"/>
  <c r="B10" i="29"/>
  <c r="B9" i="29"/>
  <c r="B8" i="29"/>
  <c r="B7" i="29"/>
  <c r="B6" i="29"/>
  <c r="B5" i="29"/>
  <c r="B4" i="29"/>
  <c r="B3" i="29"/>
  <c r="B2" i="29"/>
  <c r="B37" i="35"/>
  <c r="B36" i="35"/>
  <c r="B35" i="35"/>
  <c r="B34" i="35"/>
  <c r="B33" i="35"/>
  <c r="B32" i="35"/>
  <c r="B31" i="35"/>
  <c r="B30" i="35"/>
  <c r="B25" i="35"/>
  <c r="B24" i="35"/>
  <c r="B23" i="35"/>
  <c r="B22" i="35"/>
  <c r="B21" i="35"/>
  <c r="B20" i="35"/>
  <c r="B19" i="35"/>
  <c r="B18" i="35"/>
  <c r="B17" i="35"/>
  <c r="B16" i="35"/>
  <c r="B15" i="35"/>
  <c r="B14" i="35"/>
  <c r="B13" i="35"/>
  <c r="B12" i="35"/>
  <c r="B11" i="35"/>
  <c r="B10" i="35"/>
  <c r="B9" i="35"/>
  <c r="B8" i="35"/>
  <c r="B7" i="35"/>
  <c r="B6" i="35"/>
  <c r="B5" i="35"/>
  <c r="B4" i="35"/>
  <c r="B3" i="35"/>
  <c r="B2" i="35"/>
  <c r="B27" i="28"/>
  <c r="B26" i="28"/>
  <c r="B25" i="28"/>
  <c r="B24" i="28"/>
  <c r="B19" i="28"/>
  <c r="B18" i="28"/>
  <c r="B17" i="28"/>
  <c r="B16" i="28"/>
  <c r="B15" i="28"/>
  <c r="B14" i="28"/>
  <c r="B13" i="28"/>
  <c r="B12" i="28"/>
  <c r="B11" i="28"/>
  <c r="B10" i="28"/>
  <c r="B9" i="28"/>
  <c r="B8" i="28"/>
  <c r="B7" i="28"/>
  <c r="B6" i="28"/>
  <c r="B5" i="28"/>
  <c r="B4" i="28"/>
  <c r="B3" i="28"/>
  <c r="B2" i="28"/>
  <c r="B20" i="27"/>
  <c r="B19" i="27"/>
  <c r="B18" i="27"/>
  <c r="B17" i="27"/>
  <c r="B16" i="27"/>
  <c r="B11" i="27"/>
  <c r="B10" i="27"/>
  <c r="B9" i="27"/>
  <c r="B8" i="27"/>
  <c r="B7" i="27"/>
  <c r="B6" i="27"/>
  <c r="B5" i="27"/>
  <c r="B4" i="27"/>
  <c r="B3" i="27"/>
  <c r="B2" i="27"/>
  <c r="B19" i="26"/>
  <c r="B18" i="26"/>
  <c r="B17" i="26"/>
  <c r="B16" i="26"/>
  <c r="B15" i="26"/>
  <c r="B9" i="26"/>
  <c r="B8" i="26"/>
  <c r="B7" i="26"/>
  <c r="B6" i="26"/>
  <c r="B5" i="26"/>
  <c r="B4" i="26"/>
  <c r="B3" i="26"/>
  <c r="B2" i="26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5" i="25"/>
  <c r="B4" i="25"/>
  <c r="B3" i="25"/>
  <c r="B2" i="25"/>
  <c r="E19" i="30" l="1"/>
  <c r="E12" i="30"/>
  <c r="E15" i="32"/>
  <c r="E8" i="32"/>
  <c r="E28" i="34"/>
  <c r="E19" i="34"/>
  <c r="E17" i="33"/>
  <c r="E8" i="33"/>
  <c r="E25" i="36"/>
  <c r="E18" i="36"/>
  <c r="E29" i="31"/>
  <c r="E20" i="31"/>
  <c r="E21" i="29"/>
  <c r="E38" i="35"/>
  <c r="E26" i="35"/>
  <c r="E20" i="28"/>
  <c r="E21" i="27"/>
  <c r="E12" i="27"/>
  <c r="E20" i="26"/>
  <c r="E10" i="26"/>
  <c r="E21" i="25"/>
  <c r="E41" i="9"/>
  <c r="E27" i="9"/>
  <c r="E32" i="1" l="1"/>
  <c r="E15" i="1"/>
  <c r="E26" i="1"/>
  <c r="E9" i="1"/>
  <c r="E23" i="1"/>
  <c r="E6" i="1"/>
  <c r="E25" i="1"/>
  <c r="E8" i="1"/>
  <c r="E29" i="1"/>
  <c r="E12" i="1"/>
  <c r="E5" i="1"/>
  <c r="B20" i="28"/>
  <c r="E31" i="1"/>
  <c r="E14" i="1"/>
  <c r="E7" i="1"/>
  <c r="E21" i="1"/>
  <c r="E4" i="1"/>
  <c r="E30" i="1"/>
  <c r="E13" i="1"/>
  <c r="G26" i="29"/>
  <c r="B5" i="1" l="1"/>
  <c r="E33" i="1"/>
  <c r="E16" i="1"/>
  <c r="G19" i="28"/>
  <c r="F43" i="2"/>
  <c r="F41" i="2"/>
  <c r="F40" i="2"/>
  <c r="F39" i="2"/>
  <c r="F38" i="2"/>
  <c r="F37" i="2"/>
  <c r="F36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F24" i="1"/>
  <c r="B6" i="2" l="1"/>
  <c r="B5" i="2"/>
  <c r="B21" i="2"/>
  <c r="B7" i="2"/>
  <c r="B36" i="2"/>
  <c r="B41" i="2"/>
  <c r="B22" i="2"/>
  <c r="B2" i="2"/>
  <c r="B28" i="2"/>
  <c r="B9" i="2"/>
  <c r="B20" i="2"/>
  <c r="B37" i="2"/>
  <c r="B38" i="2"/>
  <c r="B24" i="1"/>
  <c r="B16" i="2"/>
  <c r="B25" i="2"/>
  <c r="B11" i="2"/>
  <c r="B24" i="2"/>
  <c r="B27" i="2"/>
  <c r="B29" i="2"/>
  <c r="B30" i="2"/>
  <c r="B12" i="2"/>
  <c r="B15" i="2"/>
  <c r="B23" i="2"/>
  <c r="B4" i="2"/>
  <c r="B17" i="2"/>
  <c r="B26" i="2"/>
  <c r="B40" i="2"/>
  <c r="B43" i="2"/>
  <c r="B39" i="2"/>
  <c r="B18" i="2"/>
  <c r="B19" i="2"/>
  <c r="B3" i="2"/>
  <c r="B10" i="2"/>
  <c r="B13" i="2"/>
  <c r="B8" i="2"/>
  <c r="B14" i="2"/>
  <c r="B31" i="2"/>
  <c r="F44" i="2"/>
  <c r="F32" i="2"/>
  <c r="B44" i="2" l="1"/>
  <c r="B32" i="2"/>
  <c r="B14" i="38"/>
  <c r="B13" i="38"/>
  <c r="B9" i="38"/>
  <c r="B8" i="38"/>
  <c r="B7" i="38"/>
  <c r="B6" i="38"/>
  <c r="B5" i="38"/>
  <c r="B4" i="38"/>
  <c r="B3" i="38"/>
  <c r="B2" i="38"/>
  <c r="F19" i="30"/>
  <c r="F12" i="30"/>
  <c r="F15" i="32"/>
  <c r="F8" i="32"/>
  <c r="F28" i="34"/>
  <c r="F19" i="34"/>
  <c r="F17" i="33"/>
  <c r="F8" i="33"/>
  <c r="F25" i="36"/>
  <c r="F18" i="36"/>
  <c r="F29" i="31"/>
  <c r="F20" i="31"/>
  <c r="F21" i="29"/>
  <c r="F38" i="35"/>
  <c r="F26" i="35"/>
  <c r="F27" i="28"/>
  <c r="F22" i="1" s="1"/>
  <c r="F20" i="28"/>
  <c r="F21" i="27"/>
  <c r="F12" i="27"/>
  <c r="F20" i="26"/>
  <c r="F10" i="26"/>
  <c r="F21" i="25"/>
  <c r="F41" i="9"/>
  <c r="F27" i="9"/>
  <c r="G19" i="30"/>
  <c r="G12" i="30"/>
  <c r="G27" i="9"/>
  <c r="B27" i="9" l="1"/>
  <c r="B41" i="9"/>
  <c r="F32" i="1"/>
  <c r="B19" i="30"/>
  <c r="F15" i="1"/>
  <c r="B12" i="30"/>
  <c r="B25" i="36"/>
  <c r="B18" i="36"/>
  <c r="B38" i="35"/>
  <c r="B26" i="35"/>
  <c r="B29" i="31"/>
  <c r="B20" i="31"/>
  <c r="B8" i="33"/>
  <c r="B17" i="33"/>
  <c r="B15" i="32"/>
  <c r="B8" i="32"/>
  <c r="B21" i="29"/>
  <c r="B21" i="27"/>
  <c r="B12" i="27"/>
  <c r="B28" i="34"/>
  <c r="B19" i="34"/>
  <c r="B20" i="26"/>
  <c r="B10" i="26"/>
  <c r="F2" i="1"/>
  <c r="F23" i="1"/>
  <c r="F13" i="1"/>
  <c r="F30" i="1"/>
  <c r="F26" i="1"/>
  <c r="F6" i="1"/>
  <c r="F3" i="1"/>
  <c r="F7" i="1"/>
  <c r="F20" i="1"/>
  <c r="F8" i="1"/>
  <c r="F14" i="1"/>
  <c r="F5" i="1"/>
  <c r="F4" i="1"/>
  <c r="F25" i="1"/>
  <c r="F31" i="1"/>
  <c r="F21" i="1"/>
  <c r="F9" i="1"/>
  <c r="F29" i="1"/>
  <c r="F12" i="1"/>
  <c r="G41" i="9"/>
  <c r="B32" i="1" l="1"/>
  <c r="B15" i="1"/>
  <c r="B26" i="1"/>
  <c r="B9" i="1"/>
  <c r="B23" i="1"/>
  <c r="B6" i="1"/>
  <c r="B25" i="1"/>
  <c r="B8" i="1"/>
  <c r="B12" i="1"/>
  <c r="B29" i="1"/>
  <c r="B31" i="1"/>
  <c r="B14" i="1"/>
  <c r="B7" i="1"/>
  <c r="B21" i="1"/>
  <c r="B4" i="1"/>
  <c r="B30" i="1"/>
  <c r="B13" i="1"/>
  <c r="B20" i="1"/>
  <c r="B3" i="1"/>
  <c r="F33" i="1"/>
  <c r="F16" i="1"/>
  <c r="G25" i="36"/>
  <c r="G18" i="36"/>
  <c r="B33" i="1" l="1"/>
  <c r="B16" i="1"/>
  <c r="G29" i="31"/>
  <c r="G20" i="31" l="1"/>
  <c r="G38" i="35" l="1"/>
  <c r="G26" i="35"/>
  <c r="G17" i="33" l="1"/>
  <c r="G8" i="33"/>
  <c r="G27" i="28"/>
  <c r="G21" i="29"/>
  <c r="G15" i="32"/>
  <c r="G8" i="32"/>
  <c r="G20" i="28" l="1"/>
  <c r="G21" i="27"/>
  <c r="G12" i="27"/>
  <c r="G28" i="34" l="1"/>
  <c r="G19" i="34"/>
  <c r="G20" i="26" l="1"/>
  <c r="G10" i="26"/>
  <c r="G43" i="2" l="1"/>
  <c r="G41" i="2"/>
  <c r="G40" i="2"/>
  <c r="G39" i="2"/>
  <c r="G38" i="2"/>
  <c r="G37" i="2"/>
  <c r="G36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G32" i="1"/>
  <c r="G31" i="1"/>
  <c r="G30" i="1"/>
  <c r="G29" i="1"/>
  <c r="G26" i="1"/>
  <c r="G25" i="1"/>
  <c r="G24" i="1"/>
  <c r="G23" i="1"/>
  <c r="G22" i="1"/>
  <c r="G21" i="1"/>
  <c r="G20" i="1"/>
  <c r="G15" i="1"/>
  <c r="G14" i="1"/>
  <c r="G13" i="1"/>
  <c r="G12" i="1"/>
  <c r="G9" i="1"/>
  <c r="G8" i="1"/>
  <c r="G7" i="1"/>
  <c r="G6" i="1"/>
  <c r="G5" i="1"/>
  <c r="G4" i="1"/>
  <c r="G3" i="1"/>
  <c r="G2" i="1"/>
  <c r="G21" i="25"/>
  <c r="G16" i="1" l="1"/>
  <c r="G32" i="2"/>
  <c r="G33" i="1"/>
  <c r="G44" i="2"/>
  <c r="H29" i="31" l="1"/>
  <c r="H19" i="30"/>
  <c r="H32" i="1" s="1"/>
  <c r="H12" i="30"/>
  <c r="H38" i="35"/>
  <c r="H26" i="35"/>
  <c r="H18" i="36"/>
  <c r="H25" i="36"/>
  <c r="M10" i="30"/>
  <c r="M30" i="2" s="1"/>
  <c r="I12" i="30"/>
  <c r="J12" i="30"/>
  <c r="J15" i="1" s="1"/>
  <c r="K12" i="30"/>
  <c r="K15" i="1" s="1"/>
  <c r="L12" i="30"/>
  <c r="N12" i="30"/>
  <c r="N15" i="1" s="1"/>
  <c r="O12" i="30"/>
  <c r="P12" i="30"/>
  <c r="P15" i="1" s="1"/>
  <c r="Q12" i="30"/>
  <c r="Q15" i="1" s="1"/>
  <c r="R12" i="30"/>
  <c r="R15" i="1" s="1"/>
  <c r="S12" i="30"/>
  <c r="S15" i="1" s="1"/>
  <c r="T12" i="30"/>
  <c r="T15" i="1" s="1"/>
  <c r="U12" i="30"/>
  <c r="V12" i="30"/>
  <c r="V15" i="1" s="1"/>
  <c r="W12" i="30"/>
  <c r="X12" i="30"/>
  <c r="X15" i="1" s="1"/>
  <c r="I19" i="30"/>
  <c r="J19" i="30"/>
  <c r="K19" i="30"/>
  <c r="K32" i="1" s="1"/>
  <c r="L19" i="30"/>
  <c r="L32" i="1" s="1"/>
  <c r="M19" i="30"/>
  <c r="N19" i="30"/>
  <c r="N32" i="1" s="1"/>
  <c r="O19" i="30"/>
  <c r="O32" i="1" s="1"/>
  <c r="P19" i="30"/>
  <c r="P32" i="1" s="1"/>
  <c r="Q19" i="30"/>
  <c r="Q32" i="1" s="1"/>
  <c r="R19" i="30"/>
  <c r="R32" i="1" s="1"/>
  <c r="S19" i="30"/>
  <c r="S32" i="1" s="1"/>
  <c r="T19" i="30"/>
  <c r="T32" i="1" s="1"/>
  <c r="U19" i="30"/>
  <c r="V19" i="30"/>
  <c r="W19" i="30"/>
  <c r="X19" i="30"/>
  <c r="H8" i="32"/>
  <c r="I8" i="32"/>
  <c r="J8" i="32"/>
  <c r="J14" i="1" s="1"/>
  <c r="K8" i="32"/>
  <c r="K14" i="1" s="1"/>
  <c r="L8" i="32"/>
  <c r="M8" i="32"/>
  <c r="M14" i="1" s="1"/>
  <c r="N8" i="32"/>
  <c r="N14" i="1" s="1"/>
  <c r="O8" i="32"/>
  <c r="P8" i="32"/>
  <c r="Q8" i="32"/>
  <c r="Q14" i="1" s="1"/>
  <c r="R8" i="32"/>
  <c r="R14" i="1" s="1"/>
  <c r="S8" i="32"/>
  <c r="S14" i="1" s="1"/>
  <c r="T8" i="32"/>
  <c r="U8" i="32"/>
  <c r="U14" i="1" s="1"/>
  <c r="V8" i="32"/>
  <c r="V14" i="1" s="1"/>
  <c r="W8" i="32"/>
  <c r="X8" i="32"/>
  <c r="H15" i="32"/>
  <c r="I15" i="32"/>
  <c r="I31" i="1" s="1"/>
  <c r="J15" i="32"/>
  <c r="J31" i="1" s="1"/>
  <c r="K15" i="32"/>
  <c r="L15" i="32"/>
  <c r="M15" i="32"/>
  <c r="M31" i="1" s="1"/>
  <c r="N15" i="32"/>
  <c r="O15" i="32"/>
  <c r="P15" i="32"/>
  <c r="P31" i="1" s="1"/>
  <c r="Q15" i="32"/>
  <c r="R15" i="32"/>
  <c r="R31" i="1" s="1"/>
  <c r="S15" i="32"/>
  <c r="T15" i="32"/>
  <c r="T31" i="1" s="1"/>
  <c r="U15" i="32"/>
  <c r="V15" i="32"/>
  <c r="W15" i="32"/>
  <c r="X15" i="32"/>
  <c r="L2" i="34"/>
  <c r="L3" i="2" s="1"/>
  <c r="L3" i="34"/>
  <c r="M3" i="34"/>
  <c r="L5" i="34"/>
  <c r="L6" i="34"/>
  <c r="M6" i="34"/>
  <c r="L7" i="34"/>
  <c r="L8" i="34"/>
  <c r="L14" i="2" s="1"/>
  <c r="L10" i="34"/>
  <c r="L17" i="2" s="1"/>
  <c r="L11" i="34"/>
  <c r="L18" i="2" s="1"/>
  <c r="L13" i="34"/>
  <c r="L14" i="34"/>
  <c r="L23" i="2" s="1"/>
  <c r="L16" i="34"/>
  <c r="L17" i="34"/>
  <c r="U17" i="34"/>
  <c r="U19" i="34" s="1"/>
  <c r="U13" i="1" s="1"/>
  <c r="L18" i="34"/>
  <c r="M18" i="34"/>
  <c r="M31" i="2" s="1"/>
  <c r="H19" i="34"/>
  <c r="I19" i="34"/>
  <c r="J19" i="34"/>
  <c r="J13" i="1" s="1"/>
  <c r="K19" i="34"/>
  <c r="N19" i="34"/>
  <c r="N13" i="1" s="1"/>
  <c r="O19" i="34"/>
  <c r="O13" i="1" s="1"/>
  <c r="P19" i="34"/>
  <c r="P13" i="1" s="1"/>
  <c r="Q19" i="34"/>
  <c r="Q13" i="1" s="1"/>
  <c r="R19" i="34"/>
  <c r="R13" i="1" s="1"/>
  <c r="S19" i="34"/>
  <c r="S13" i="1" s="1"/>
  <c r="T19" i="34"/>
  <c r="V19" i="34"/>
  <c r="W19" i="34"/>
  <c r="W13" i="1" s="1"/>
  <c r="X19" i="34"/>
  <c r="L23" i="34"/>
  <c r="L25" i="34"/>
  <c r="L27" i="34"/>
  <c r="H28" i="34"/>
  <c r="I28" i="34"/>
  <c r="J28" i="34"/>
  <c r="K28" i="34"/>
  <c r="M28" i="34"/>
  <c r="N28" i="34"/>
  <c r="N30" i="1" s="1"/>
  <c r="O28" i="34"/>
  <c r="O30" i="1" s="1"/>
  <c r="P28" i="34"/>
  <c r="P30" i="1" s="1"/>
  <c r="Q28" i="34"/>
  <c r="Q30" i="1" s="1"/>
  <c r="R28" i="34"/>
  <c r="S28" i="34"/>
  <c r="T28" i="34"/>
  <c r="T30" i="1" s="1"/>
  <c r="U28" i="34"/>
  <c r="V28" i="34"/>
  <c r="W28" i="34"/>
  <c r="X28" i="34"/>
  <c r="H8" i="33"/>
  <c r="I8" i="33"/>
  <c r="J8" i="33"/>
  <c r="K8" i="33"/>
  <c r="L8" i="33"/>
  <c r="M8" i="33"/>
  <c r="M12" i="1" s="1"/>
  <c r="N8" i="33"/>
  <c r="N12" i="1" s="1"/>
  <c r="O8" i="33"/>
  <c r="O12" i="1" s="1"/>
  <c r="P8" i="33"/>
  <c r="P12" i="1" s="1"/>
  <c r="Q8" i="33"/>
  <c r="R8" i="33"/>
  <c r="S8" i="33"/>
  <c r="T8" i="33"/>
  <c r="U8" i="33"/>
  <c r="V8" i="33"/>
  <c r="V12" i="1" s="1"/>
  <c r="W8" i="33"/>
  <c r="W12" i="1" s="1"/>
  <c r="X8" i="33"/>
  <c r="X12" i="1" s="1"/>
  <c r="H17" i="33"/>
  <c r="I17" i="33"/>
  <c r="J17" i="33"/>
  <c r="K17" i="33"/>
  <c r="K29" i="1" s="1"/>
  <c r="L17" i="33"/>
  <c r="M17" i="33"/>
  <c r="M29" i="1" s="1"/>
  <c r="N17" i="33"/>
  <c r="N29" i="1" s="1"/>
  <c r="O17" i="33"/>
  <c r="O29" i="1" s="1"/>
  <c r="P17" i="33"/>
  <c r="P29" i="1" s="1"/>
  <c r="Q17" i="33"/>
  <c r="R17" i="33"/>
  <c r="S17" i="33"/>
  <c r="S29" i="1" s="1"/>
  <c r="T17" i="33"/>
  <c r="U17" i="33"/>
  <c r="V17" i="33"/>
  <c r="W17" i="33"/>
  <c r="X17" i="33"/>
  <c r="J14" i="38"/>
  <c r="I18" i="36"/>
  <c r="J18" i="36"/>
  <c r="J9" i="1" s="1"/>
  <c r="K18" i="36"/>
  <c r="K9" i="1" s="1"/>
  <c r="L18" i="36"/>
  <c r="L9" i="1" s="1"/>
  <c r="M18" i="36"/>
  <c r="M9" i="1" s="1"/>
  <c r="N18" i="36"/>
  <c r="N9" i="1" s="1"/>
  <c r="O18" i="36"/>
  <c r="P18" i="36"/>
  <c r="Q18" i="36"/>
  <c r="R18" i="36"/>
  <c r="S18" i="36"/>
  <c r="S9" i="1" s="1"/>
  <c r="T18" i="36"/>
  <c r="T9" i="1" s="1"/>
  <c r="U18" i="36"/>
  <c r="U9" i="1" s="1"/>
  <c r="V18" i="36"/>
  <c r="V9" i="1" s="1"/>
  <c r="W18" i="36"/>
  <c r="W9" i="1" s="1"/>
  <c r="X18" i="36"/>
  <c r="I25" i="36"/>
  <c r="J25" i="36"/>
  <c r="J26" i="1" s="1"/>
  <c r="K25" i="36"/>
  <c r="K26" i="1" s="1"/>
  <c r="L25" i="36"/>
  <c r="L26" i="1" s="1"/>
  <c r="M25" i="36"/>
  <c r="M26" i="1" s="1"/>
  <c r="N25" i="36"/>
  <c r="N26" i="1" s="1"/>
  <c r="O25" i="36"/>
  <c r="P25" i="36"/>
  <c r="Q25" i="36"/>
  <c r="R25" i="36"/>
  <c r="R26" i="1" s="1"/>
  <c r="S25" i="36"/>
  <c r="S26" i="1" s="1"/>
  <c r="T25" i="36"/>
  <c r="T26" i="1" s="1"/>
  <c r="U25" i="36"/>
  <c r="V25" i="36"/>
  <c r="W25" i="36"/>
  <c r="X25" i="36"/>
  <c r="J19" i="31"/>
  <c r="J20" i="31" s="1"/>
  <c r="J8" i="1" s="1"/>
  <c r="K19" i="31"/>
  <c r="K20" i="31" s="1"/>
  <c r="K8" i="1" s="1"/>
  <c r="H20" i="31"/>
  <c r="I20" i="31"/>
  <c r="L20" i="31"/>
  <c r="L8" i="1" s="1"/>
  <c r="M20" i="31"/>
  <c r="N20" i="31"/>
  <c r="O20" i="31"/>
  <c r="P20" i="31"/>
  <c r="Q20" i="31"/>
  <c r="Q8" i="1" s="1"/>
  <c r="R20" i="31"/>
  <c r="R8" i="1" s="1"/>
  <c r="S20" i="31"/>
  <c r="S8" i="1" s="1"/>
  <c r="T20" i="31"/>
  <c r="T8" i="1" s="1"/>
  <c r="U20" i="31"/>
  <c r="V20" i="31"/>
  <c r="V8" i="1" s="1"/>
  <c r="W20" i="31"/>
  <c r="X20" i="31"/>
  <c r="X8" i="1" s="1"/>
  <c r="H21" i="29"/>
  <c r="I21" i="29"/>
  <c r="J21" i="29"/>
  <c r="J7" i="1" s="1"/>
  <c r="K21" i="29"/>
  <c r="K7" i="1" s="1"/>
  <c r="L21" i="29"/>
  <c r="L7" i="1" s="1"/>
  <c r="M21" i="29"/>
  <c r="N21" i="29"/>
  <c r="O21" i="29"/>
  <c r="O7" i="1" s="1"/>
  <c r="P21" i="29"/>
  <c r="Q21" i="29"/>
  <c r="Q7" i="1" s="1"/>
  <c r="R21" i="29"/>
  <c r="R7" i="1" s="1"/>
  <c r="S21" i="29"/>
  <c r="S7" i="1" s="1"/>
  <c r="T21" i="29"/>
  <c r="T7" i="1" s="1"/>
  <c r="U21" i="29"/>
  <c r="U7" i="1" s="1"/>
  <c r="V21" i="29"/>
  <c r="W21" i="29"/>
  <c r="W7" i="1" s="1"/>
  <c r="X21" i="29"/>
  <c r="N26" i="29"/>
  <c r="N24" i="1" s="1"/>
  <c r="O26" i="29"/>
  <c r="O24" i="1" s="1"/>
  <c r="P26" i="29"/>
  <c r="P24" i="1" s="1"/>
  <c r="Q26" i="29"/>
  <c r="R26" i="29"/>
  <c r="R24" i="1" s="1"/>
  <c r="S26" i="29"/>
  <c r="T26" i="29"/>
  <c r="U26" i="29"/>
  <c r="V26" i="29"/>
  <c r="W26" i="29"/>
  <c r="X26" i="29"/>
  <c r="I26" i="35"/>
  <c r="J26" i="35"/>
  <c r="J6" i="1" s="1"/>
  <c r="K26" i="35"/>
  <c r="L26" i="35"/>
  <c r="L6" i="1" s="1"/>
  <c r="M26" i="35"/>
  <c r="N26" i="35"/>
  <c r="N6" i="1" s="1"/>
  <c r="O26" i="35"/>
  <c r="O6" i="1"/>
  <c r="P26" i="35"/>
  <c r="P6" i="1" s="1"/>
  <c r="Q26" i="35"/>
  <c r="Q6" i="1" s="1"/>
  <c r="R26" i="35"/>
  <c r="R6" i="1"/>
  <c r="S26" i="35"/>
  <c r="T26" i="35"/>
  <c r="T6" i="1" s="1"/>
  <c r="U26" i="35"/>
  <c r="I38" i="35"/>
  <c r="I23" i="1" s="1"/>
  <c r="J38" i="35"/>
  <c r="J23" i="1" s="1"/>
  <c r="K38" i="35"/>
  <c r="K23" i="1" s="1"/>
  <c r="L38" i="35"/>
  <c r="M38" i="35"/>
  <c r="M23" i="1" s="1"/>
  <c r="N38" i="35"/>
  <c r="N23" i="1" s="1"/>
  <c r="O38" i="35"/>
  <c r="O23" i="1" s="1"/>
  <c r="P38" i="35"/>
  <c r="P23" i="1" s="1"/>
  <c r="Q38" i="35"/>
  <c r="Q23" i="1" s="1"/>
  <c r="R38" i="35"/>
  <c r="R23" i="1" s="1"/>
  <c r="S38" i="35"/>
  <c r="S23" i="1"/>
  <c r="U38" i="35"/>
  <c r="J19" i="28"/>
  <c r="J20" i="28" s="1"/>
  <c r="J5" i="1" s="1"/>
  <c r="K19" i="28"/>
  <c r="K20" i="28" s="1"/>
  <c r="K5" i="1" s="1"/>
  <c r="H20" i="28"/>
  <c r="I20" i="28"/>
  <c r="L20" i="28"/>
  <c r="M20" i="28"/>
  <c r="N20" i="28"/>
  <c r="N5" i="1" s="1"/>
  <c r="O20" i="28"/>
  <c r="P20" i="28"/>
  <c r="P5" i="1" s="1"/>
  <c r="Q20" i="28"/>
  <c r="Q5" i="1" s="1"/>
  <c r="R20" i="28"/>
  <c r="R5" i="1" s="1"/>
  <c r="S20" i="28"/>
  <c r="S5" i="1" s="1"/>
  <c r="T20" i="28"/>
  <c r="U20" i="28"/>
  <c r="V20" i="28"/>
  <c r="V5" i="1" s="1"/>
  <c r="W20" i="28"/>
  <c r="X20" i="28"/>
  <c r="X5" i="1" s="1"/>
  <c r="V24" i="28"/>
  <c r="V39" i="2" s="1"/>
  <c r="W24" i="28"/>
  <c r="W27" i="28" s="1"/>
  <c r="X24" i="28"/>
  <c r="V26" i="28"/>
  <c r="X26" i="28"/>
  <c r="H27" i="28"/>
  <c r="H22" i="1" s="1"/>
  <c r="I27" i="28"/>
  <c r="J27" i="28"/>
  <c r="J22" i="1" s="1"/>
  <c r="K27" i="28"/>
  <c r="K22" i="1" s="1"/>
  <c r="L27" i="28"/>
  <c r="L22" i="1" s="1"/>
  <c r="N27" i="28"/>
  <c r="N22" i="1" s="1"/>
  <c r="O27" i="28"/>
  <c r="P27" i="28"/>
  <c r="Q27" i="28"/>
  <c r="Q22" i="1" s="1"/>
  <c r="S27" i="28"/>
  <c r="H12" i="27"/>
  <c r="I12" i="27"/>
  <c r="I4" i="1" s="1"/>
  <c r="J12" i="27"/>
  <c r="K12" i="27"/>
  <c r="M12" i="27"/>
  <c r="M4" i="1" s="1"/>
  <c r="N12" i="27"/>
  <c r="N4" i="1" s="1"/>
  <c r="O12" i="27"/>
  <c r="O4" i="1" s="1"/>
  <c r="P12" i="27"/>
  <c r="P4" i="1" s="1"/>
  <c r="Q12" i="27"/>
  <c r="Q4" i="1" s="1"/>
  <c r="R12" i="27"/>
  <c r="R4" i="1" s="1"/>
  <c r="S12" i="27"/>
  <c r="S4" i="1" s="1"/>
  <c r="T12" i="27"/>
  <c r="T4" i="1" s="1"/>
  <c r="U12" i="27"/>
  <c r="U4" i="1" s="1"/>
  <c r="V12" i="27"/>
  <c r="V4" i="1" s="1"/>
  <c r="W12" i="27"/>
  <c r="W4" i="1" s="1"/>
  <c r="X12" i="27"/>
  <c r="X4" i="1" s="1"/>
  <c r="H21" i="27"/>
  <c r="I21" i="27"/>
  <c r="J21" i="27"/>
  <c r="J21" i="1" s="1"/>
  <c r="M21" i="27"/>
  <c r="M21" i="1" s="1"/>
  <c r="N21" i="27"/>
  <c r="O21" i="27"/>
  <c r="O21" i="1" s="1"/>
  <c r="P21" i="27"/>
  <c r="Q21" i="27"/>
  <c r="Q21" i="1" s="1"/>
  <c r="R21" i="27"/>
  <c r="R21" i="1" s="1"/>
  <c r="S21" i="27"/>
  <c r="S21" i="1" s="1"/>
  <c r="T21" i="27"/>
  <c r="U21" i="27"/>
  <c r="V21" i="27"/>
  <c r="W21" i="27"/>
  <c r="X21" i="27"/>
  <c r="H10" i="26"/>
  <c r="I10" i="26"/>
  <c r="J10" i="26"/>
  <c r="J3" i="1" s="1"/>
  <c r="K10" i="26"/>
  <c r="K3" i="1" s="1"/>
  <c r="M10" i="26"/>
  <c r="N10" i="26"/>
  <c r="O10" i="26"/>
  <c r="P10" i="26"/>
  <c r="Q10" i="26"/>
  <c r="Q3" i="1" s="1"/>
  <c r="R10" i="26"/>
  <c r="R3" i="1" s="1"/>
  <c r="S10" i="26"/>
  <c r="S3" i="1" s="1"/>
  <c r="U10" i="26"/>
  <c r="U3" i="1" s="1"/>
  <c r="V10" i="26"/>
  <c r="W10" i="26"/>
  <c r="X10" i="26"/>
  <c r="H20" i="26"/>
  <c r="I20" i="26"/>
  <c r="J20" i="26"/>
  <c r="K20" i="26"/>
  <c r="K20" i="1" s="1"/>
  <c r="L20" i="26"/>
  <c r="L20" i="1" s="1"/>
  <c r="M20" i="26"/>
  <c r="N20" i="26"/>
  <c r="N20" i="1" s="1"/>
  <c r="O20" i="26"/>
  <c r="O20" i="1" s="1"/>
  <c r="P20" i="26"/>
  <c r="P20" i="1" s="1"/>
  <c r="Q20" i="26"/>
  <c r="Q20" i="1" s="1"/>
  <c r="R20" i="26"/>
  <c r="R20" i="1" s="1"/>
  <c r="S20" i="26"/>
  <c r="S20" i="1" s="1"/>
  <c r="U20" i="26"/>
  <c r="V20" i="26"/>
  <c r="W20" i="26"/>
  <c r="X20" i="26"/>
  <c r="H21" i="25"/>
  <c r="I21" i="25"/>
  <c r="J21" i="25"/>
  <c r="J2" i="1" s="1"/>
  <c r="K21" i="25"/>
  <c r="K2" i="1" s="1"/>
  <c r="L21" i="25"/>
  <c r="M21" i="25"/>
  <c r="M2" i="1" s="1"/>
  <c r="N21" i="25"/>
  <c r="O21" i="25"/>
  <c r="P21" i="25"/>
  <c r="P2" i="1" s="1"/>
  <c r="Q21" i="25"/>
  <c r="Q2" i="1" s="1"/>
  <c r="R21" i="25"/>
  <c r="R2" i="1" s="1"/>
  <c r="S21" i="25"/>
  <c r="S2" i="1" s="1"/>
  <c r="T21" i="25"/>
  <c r="U21" i="25"/>
  <c r="U2" i="1" s="1"/>
  <c r="V21" i="25"/>
  <c r="W21" i="25"/>
  <c r="W2" i="1" s="1"/>
  <c r="X21" i="25"/>
  <c r="X2" i="1" s="1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H3" i="2"/>
  <c r="I3" i="2"/>
  <c r="J3" i="2"/>
  <c r="K3" i="2"/>
  <c r="M3" i="2"/>
  <c r="N3" i="2"/>
  <c r="O3" i="2"/>
  <c r="P3" i="2"/>
  <c r="Q3" i="2"/>
  <c r="R3" i="2"/>
  <c r="S3" i="2"/>
  <c r="T3" i="2"/>
  <c r="U3" i="2"/>
  <c r="V3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H9" i="2"/>
  <c r="I9" i="2"/>
  <c r="J9" i="2"/>
  <c r="K9" i="2"/>
  <c r="L9" i="2"/>
  <c r="M9" i="2"/>
  <c r="N9" i="2"/>
  <c r="O9" i="2"/>
  <c r="P9" i="2"/>
  <c r="Q9" i="2"/>
  <c r="R9" i="2"/>
  <c r="S9" i="2"/>
  <c r="T9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H14" i="2"/>
  <c r="I14" i="2"/>
  <c r="J14" i="2"/>
  <c r="K14" i="2"/>
  <c r="M14" i="2"/>
  <c r="N14" i="2"/>
  <c r="O14" i="2"/>
  <c r="P14" i="2"/>
  <c r="Q14" i="2"/>
  <c r="R14" i="2"/>
  <c r="S14" i="2"/>
  <c r="T14" i="2"/>
  <c r="U14" i="2"/>
  <c r="V14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H17" i="2"/>
  <c r="I17" i="2"/>
  <c r="J17" i="2"/>
  <c r="K17" i="2"/>
  <c r="M17" i="2"/>
  <c r="N17" i="2"/>
  <c r="O17" i="2"/>
  <c r="P17" i="2"/>
  <c r="Q17" i="2"/>
  <c r="R17" i="2"/>
  <c r="S17" i="2"/>
  <c r="T17" i="2"/>
  <c r="U17" i="2"/>
  <c r="V17" i="2"/>
  <c r="H18" i="2"/>
  <c r="I18" i="2"/>
  <c r="J18" i="2"/>
  <c r="K18" i="2"/>
  <c r="M18" i="2"/>
  <c r="N18" i="2"/>
  <c r="O18" i="2"/>
  <c r="P18" i="2"/>
  <c r="Q18" i="2"/>
  <c r="R18" i="2"/>
  <c r="S18" i="2"/>
  <c r="T18" i="2"/>
  <c r="U18" i="2"/>
  <c r="V18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H23" i="2"/>
  <c r="I23" i="2"/>
  <c r="J23" i="2"/>
  <c r="K23" i="2"/>
  <c r="M23" i="2"/>
  <c r="N23" i="2"/>
  <c r="O23" i="2"/>
  <c r="P23" i="2"/>
  <c r="Q23" i="2"/>
  <c r="R23" i="2"/>
  <c r="S23" i="2"/>
  <c r="T23" i="2"/>
  <c r="U23" i="2"/>
  <c r="V23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H30" i="2"/>
  <c r="I30" i="2"/>
  <c r="J30" i="2"/>
  <c r="K30" i="2"/>
  <c r="L30" i="2"/>
  <c r="N30" i="2"/>
  <c r="O30" i="2"/>
  <c r="P30" i="2"/>
  <c r="Q30" i="2"/>
  <c r="R30" i="2"/>
  <c r="S30" i="2"/>
  <c r="T30" i="2"/>
  <c r="U30" i="2"/>
  <c r="V30" i="2"/>
  <c r="H31" i="2"/>
  <c r="I31" i="2"/>
  <c r="N31" i="2"/>
  <c r="O31" i="2"/>
  <c r="P31" i="2"/>
  <c r="Q31" i="2"/>
  <c r="R31" i="2"/>
  <c r="S31" i="2"/>
  <c r="T31" i="2"/>
  <c r="U31" i="2"/>
  <c r="V31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H39" i="2"/>
  <c r="I39" i="2"/>
  <c r="J39" i="2"/>
  <c r="K39" i="2"/>
  <c r="L39" i="2"/>
  <c r="N39" i="2"/>
  <c r="O39" i="2"/>
  <c r="P39" i="2"/>
  <c r="Q39" i="2"/>
  <c r="R39" i="2"/>
  <c r="S39" i="2"/>
  <c r="T39" i="2"/>
  <c r="U39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J42" i="2"/>
  <c r="K42" i="2"/>
  <c r="L42" i="2"/>
  <c r="H43" i="2"/>
  <c r="I43" i="2"/>
  <c r="J43" i="2"/>
  <c r="K43" i="2"/>
  <c r="M43" i="2"/>
  <c r="N43" i="2"/>
  <c r="O43" i="2"/>
  <c r="P43" i="2"/>
  <c r="Q43" i="2"/>
  <c r="R43" i="2"/>
  <c r="S43" i="2"/>
  <c r="T43" i="2"/>
  <c r="U43" i="2"/>
  <c r="V43" i="2"/>
  <c r="I2" i="1"/>
  <c r="L2" i="1"/>
  <c r="N2" i="1"/>
  <c r="O2" i="1"/>
  <c r="T2" i="1"/>
  <c r="V2" i="1"/>
  <c r="L3" i="1"/>
  <c r="M3" i="1"/>
  <c r="N3" i="1"/>
  <c r="O3" i="1"/>
  <c r="P3" i="1"/>
  <c r="T3" i="1"/>
  <c r="V3" i="1"/>
  <c r="W3" i="1"/>
  <c r="X3" i="1"/>
  <c r="J4" i="1"/>
  <c r="K4" i="1"/>
  <c r="L4" i="1"/>
  <c r="L5" i="1"/>
  <c r="M5" i="1"/>
  <c r="O5" i="1"/>
  <c r="T5" i="1"/>
  <c r="U5" i="1"/>
  <c r="W5" i="1"/>
  <c r="K6" i="1"/>
  <c r="M6" i="1"/>
  <c r="S6" i="1"/>
  <c r="U6" i="1"/>
  <c r="H7" i="1"/>
  <c r="M7" i="1"/>
  <c r="N7" i="1"/>
  <c r="P7" i="1"/>
  <c r="V7" i="1"/>
  <c r="X7" i="1"/>
  <c r="H8" i="1"/>
  <c r="M8" i="1"/>
  <c r="N8" i="1"/>
  <c r="O8" i="1"/>
  <c r="P8" i="1"/>
  <c r="U8" i="1"/>
  <c r="W8" i="1"/>
  <c r="O9" i="1"/>
  <c r="P9" i="1"/>
  <c r="Q9" i="1"/>
  <c r="R9" i="1"/>
  <c r="X9" i="1"/>
  <c r="I12" i="1"/>
  <c r="J12" i="1"/>
  <c r="K12" i="1"/>
  <c r="L12" i="1"/>
  <c r="Q12" i="1"/>
  <c r="R12" i="1"/>
  <c r="S12" i="1"/>
  <c r="T12" i="1"/>
  <c r="U12" i="1"/>
  <c r="K13" i="1"/>
  <c r="T13" i="1"/>
  <c r="V13" i="1"/>
  <c r="X13" i="1"/>
  <c r="H14" i="1"/>
  <c r="I14" i="1"/>
  <c r="L14" i="1"/>
  <c r="O14" i="1"/>
  <c r="P14" i="1"/>
  <c r="T14" i="1"/>
  <c r="W14" i="1"/>
  <c r="X14" i="1"/>
  <c r="L15" i="1"/>
  <c r="O15" i="1"/>
  <c r="U15" i="1"/>
  <c r="W15" i="1"/>
  <c r="J20" i="1"/>
  <c r="M20" i="1"/>
  <c r="T20" i="1"/>
  <c r="K21" i="1"/>
  <c r="L21" i="1"/>
  <c r="N21" i="1"/>
  <c r="P21" i="1"/>
  <c r="T21" i="1"/>
  <c r="I22" i="1"/>
  <c r="M22" i="1"/>
  <c r="O22" i="1"/>
  <c r="P22" i="1"/>
  <c r="R22" i="1"/>
  <c r="S22" i="1"/>
  <c r="T22" i="1"/>
  <c r="L23" i="1"/>
  <c r="T23" i="1"/>
  <c r="H24" i="1"/>
  <c r="I24" i="1"/>
  <c r="J24" i="1"/>
  <c r="K24" i="1"/>
  <c r="L24" i="1"/>
  <c r="M24" i="1"/>
  <c r="Q24" i="1"/>
  <c r="S24" i="1"/>
  <c r="T24" i="1"/>
  <c r="H25" i="1"/>
  <c r="I26" i="1"/>
  <c r="O26" i="1"/>
  <c r="P26" i="1"/>
  <c r="Q26" i="1"/>
  <c r="J27" i="1"/>
  <c r="K27" i="1"/>
  <c r="L27" i="1"/>
  <c r="I29" i="1"/>
  <c r="J29" i="1"/>
  <c r="L29" i="1"/>
  <c r="Q29" i="1"/>
  <c r="R29" i="1"/>
  <c r="T29" i="1"/>
  <c r="I30" i="1"/>
  <c r="J30" i="1"/>
  <c r="K30" i="1"/>
  <c r="M30" i="1"/>
  <c r="R30" i="1"/>
  <c r="S30" i="1"/>
  <c r="K31" i="1"/>
  <c r="L31" i="1"/>
  <c r="N31" i="1"/>
  <c r="O31" i="1"/>
  <c r="Q31" i="1"/>
  <c r="S31" i="1"/>
  <c r="J32" i="1"/>
  <c r="M32" i="1"/>
  <c r="U33" i="1"/>
  <c r="V33" i="1"/>
  <c r="W33" i="1"/>
  <c r="X33" i="1"/>
  <c r="I26" i="9"/>
  <c r="J26" i="9"/>
  <c r="J27" i="9" s="1"/>
  <c r="K26" i="9"/>
  <c r="K27" i="9" s="1"/>
  <c r="L26" i="9"/>
  <c r="L27" i="9" s="1"/>
  <c r="M27" i="9"/>
  <c r="N27" i="9"/>
  <c r="O27" i="9"/>
  <c r="P27" i="9"/>
  <c r="Q27" i="9"/>
  <c r="R27" i="9"/>
  <c r="S27" i="9"/>
  <c r="T27" i="9"/>
  <c r="U27" i="9"/>
  <c r="V27" i="9"/>
  <c r="W27" i="9"/>
  <c r="X27" i="9"/>
  <c r="P30" i="9"/>
  <c r="H41" i="9"/>
  <c r="I41" i="9"/>
  <c r="J41" i="9"/>
  <c r="K41" i="9"/>
  <c r="L41" i="9"/>
  <c r="M41" i="9"/>
  <c r="N41" i="9"/>
  <c r="O41" i="9"/>
  <c r="P41" i="9"/>
  <c r="Q41" i="9"/>
  <c r="R41" i="9"/>
  <c r="S41" i="9"/>
  <c r="T41" i="9"/>
  <c r="U41" i="9"/>
  <c r="V41" i="9"/>
  <c r="W41" i="9"/>
  <c r="X41" i="9"/>
  <c r="I6" i="1"/>
  <c r="M12" i="30"/>
  <c r="M15" i="1" s="1"/>
  <c r="L43" i="2" l="1"/>
  <c r="L44" i="2" s="1"/>
  <c r="L31" i="2"/>
  <c r="L32" i="2" s="1"/>
  <c r="K31" i="2"/>
  <c r="T44" i="2"/>
  <c r="O44" i="2"/>
  <c r="P44" i="2"/>
  <c r="S44" i="2"/>
  <c r="U32" i="2"/>
  <c r="X27" i="28"/>
  <c r="H29" i="1"/>
  <c r="H15" i="1"/>
  <c r="H26" i="1"/>
  <c r="H23" i="1"/>
  <c r="H6" i="1"/>
  <c r="H5" i="1"/>
  <c r="H13" i="1"/>
  <c r="R16" i="1"/>
  <c r="Q33" i="1"/>
  <c r="M33" i="1"/>
  <c r="J16" i="1"/>
  <c r="J31" i="2"/>
  <c r="J32" i="2" s="1"/>
  <c r="H12" i="1"/>
  <c r="H21" i="1"/>
  <c r="K33" i="1"/>
  <c r="U44" i="2"/>
  <c r="M44" i="2"/>
  <c r="R44" i="2"/>
  <c r="J44" i="2"/>
  <c r="S32" i="2"/>
  <c r="K32" i="2"/>
  <c r="Q32" i="2"/>
  <c r="I21" i="1"/>
  <c r="W16" i="1"/>
  <c r="V44" i="2"/>
  <c r="T33" i="1"/>
  <c r="N44" i="2"/>
  <c r="S33" i="1"/>
  <c r="I20" i="1"/>
  <c r="K44" i="2"/>
  <c r="M32" i="2"/>
  <c r="H20" i="1"/>
  <c r="R33" i="1"/>
  <c r="J33" i="1"/>
  <c r="L28" i="34"/>
  <c r="L30" i="1" s="1"/>
  <c r="L33" i="1" s="1"/>
  <c r="S16" i="1"/>
  <c r="H27" i="9"/>
  <c r="I13" i="1"/>
  <c r="I44" i="2"/>
  <c r="V32" i="2"/>
  <c r="N32" i="2"/>
  <c r="P16" i="1"/>
  <c r="H2" i="1"/>
  <c r="I3" i="1"/>
  <c r="I8" i="1"/>
  <c r="H31" i="1"/>
  <c r="H9" i="1"/>
  <c r="Q44" i="2"/>
  <c r="L19" i="34"/>
  <c r="L13" i="1" s="1"/>
  <c r="L16" i="1" s="1"/>
  <c r="V16" i="1"/>
  <c r="H44" i="2"/>
  <c r="R32" i="2"/>
  <c r="I32" i="2"/>
  <c r="P32" i="2"/>
  <c r="H32" i="2"/>
  <c r="O32" i="2"/>
  <c r="N33" i="1"/>
  <c r="I7" i="1"/>
  <c r="I9" i="1"/>
  <c r="H30" i="1"/>
  <c r="M19" i="34"/>
  <c r="M13" i="1" s="1"/>
  <c r="M16" i="1" s="1"/>
  <c r="O16" i="1"/>
  <c r="K16" i="1"/>
  <c r="I27" i="9"/>
  <c r="O33" i="1"/>
  <c r="H4" i="1"/>
  <c r="T32" i="2"/>
  <c r="N16" i="1"/>
  <c r="P33" i="1"/>
  <c r="X16" i="1"/>
  <c r="T16" i="1"/>
  <c r="U16" i="1"/>
  <c r="Q16" i="1"/>
  <c r="I32" i="1"/>
  <c r="I5" i="1"/>
  <c r="V27" i="28"/>
  <c r="H3" i="1"/>
  <c r="I15" i="1"/>
  <c r="I33" i="1" l="1"/>
  <c r="H33" i="1"/>
  <c r="H16" i="1"/>
  <c r="I16" i="1"/>
  <c r="G47" i="2" l="1"/>
  <c r="G46" i="2"/>
  <c r="H46" i="2"/>
</calcChain>
</file>

<file path=xl/sharedStrings.xml><?xml version="1.0" encoding="utf-8"?>
<sst xmlns="http://schemas.openxmlformats.org/spreadsheetml/2006/main" count="528" uniqueCount="180">
  <si>
    <t>Belgium</t>
  </si>
  <si>
    <t>The Netherlands</t>
  </si>
  <si>
    <t>Elstar</t>
  </si>
  <si>
    <t>Golden Delicious</t>
  </si>
  <si>
    <t>Boskoop</t>
  </si>
  <si>
    <t>Cox Orange</t>
  </si>
  <si>
    <t>Other</t>
  </si>
  <si>
    <t>Conference</t>
  </si>
  <si>
    <t>Austria (Steiermark)</t>
  </si>
  <si>
    <t>Gala</t>
  </si>
  <si>
    <t>Idared</t>
  </si>
  <si>
    <t>Braeburn</t>
  </si>
  <si>
    <t>Fuji</t>
  </si>
  <si>
    <t>Pinova</t>
  </si>
  <si>
    <t>Gloster</t>
  </si>
  <si>
    <t>Holsteiner Cox</t>
  </si>
  <si>
    <t>Italy</t>
  </si>
  <si>
    <t>Granny Smith</t>
  </si>
  <si>
    <t>Morgendurf/imperat</t>
  </si>
  <si>
    <t>Red Delicious</t>
  </si>
  <si>
    <t>Annurca</t>
  </si>
  <si>
    <t>Stayman</t>
  </si>
  <si>
    <t>TOTAL</t>
  </si>
  <si>
    <t>Apple Stocks (Ton)</t>
  </si>
  <si>
    <t>Pear Stocks (Ton)</t>
  </si>
  <si>
    <t>Jonagored</t>
  </si>
  <si>
    <t>Jonagold</t>
  </si>
  <si>
    <t>Germany</t>
  </si>
  <si>
    <t>Cameo</t>
  </si>
  <si>
    <t>Kaiser</t>
  </si>
  <si>
    <t>Czech Republic</t>
  </si>
  <si>
    <t>Poland</t>
  </si>
  <si>
    <t>Cortland</t>
  </si>
  <si>
    <t>Lobo</t>
  </si>
  <si>
    <t>Spartan</t>
  </si>
  <si>
    <t>Bramley</t>
  </si>
  <si>
    <t>Spain (Catalonia)</t>
  </si>
  <si>
    <t>Alexandrina</t>
  </si>
  <si>
    <t>Blanquilla</t>
  </si>
  <si>
    <t>Denmark</t>
  </si>
  <si>
    <t>Anjou</t>
  </si>
  <si>
    <t>Bosc</t>
  </si>
  <si>
    <t>Red Anjou</t>
  </si>
  <si>
    <t>Comice</t>
  </si>
  <si>
    <t>Seckel</t>
  </si>
  <si>
    <t>Other Reds</t>
  </si>
  <si>
    <t>Northwest Bartletts (Williams)</t>
  </si>
  <si>
    <t>Other Winter Varities</t>
  </si>
  <si>
    <t>Empire</t>
  </si>
  <si>
    <t>Jonathan</t>
  </si>
  <si>
    <t>McIntosh</t>
  </si>
  <si>
    <t>Mutsu/Crispin</t>
  </si>
  <si>
    <t>Newtown Pippin</t>
  </si>
  <si>
    <t>Northern Spy</t>
  </si>
  <si>
    <t>Rome</t>
  </si>
  <si>
    <t>Rome Sport</t>
  </si>
  <si>
    <t>Winesap</t>
  </si>
  <si>
    <t>York</t>
  </si>
  <si>
    <t>Others</t>
  </si>
  <si>
    <t>Switzerland</t>
  </si>
  <si>
    <t>Cripps Pink</t>
  </si>
  <si>
    <t>Content:</t>
  </si>
  <si>
    <t>US situation</t>
  </si>
  <si>
    <t>European situation per country</t>
  </si>
  <si>
    <t xml:space="preserve">Sources: </t>
  </si>
  <si>
    <t>US:</t>
  </si>
  <si>
    <t>Washington Apple Commission, Pear Bureau Northwest</t>
  </si>
  <si>
    <t>Austria:</t>
  </si>
  <si>
    <t>Landeskammer für Land- und Forstwirtschaft Steiermark</t>
  </si>
  <si>
    <t>Belgium:</t>
  </si>
  <si>
    <t>VBT</t>
  </si>
  <si>
    <t>Czech Republic:</t>
  </si>
  <si>
    <t>SAPA</t>
  </si>
  <si>
    <t>France:</t>
  </si>
  <si>
    <t>Germany:</t>
  </si>
  <si>
    <t>Italy:</t>
  </si>
  <si>
    <t>ASSOMELA, CSO</t>
  </si>
  <si>
    <t>Poland:</t>
  </si>
  <si>
    <t>Switzerland:</t>
  </si>
  <si>
    <t>Spain:</t>
  </si>
  <si>
    <t>The Netherlands:</t>
  </si>
  <si>
    <t>United Kingdom:</t>
  </si>
  <si>
    <t>SWISSCOFEL</t>
  </si>
  <si>
    <t>SOCIETY FOR PROMOTION OF DWARF FRUIT ORCHARDS</t>
  </si>
  <si>
    <t>Central Institute for Supervising and Testing in Agriculture, Division of perennial plants</t>
  </si>
  <si>
    <t>Other new varieties³</t>
  </si>
  <si>
    <t>Reinette Grise du Canada</t>
  </si>
  <si>
    <t>Shampion</t>
  </si>
  <si>
    <t>European situation per variety</t>
  </si>
  <si>
    <t>Variety (Ton)</t>
  </si>
  <si>
    <t>Total</t>
  </si>
  <si>
    <t>Doyenne du comice</t>
  </si>
  <si>
    <t>Arlet</t>
  </si>
  <si>
    <t>Kronprinz Rudolf</t>
  </si>
  <si>
    <t>Rubinett</t>
  </si>
  <si>
    <t>Topaz</t>
  </si>
  <si>
    <t>Bellida</t>
  </si>
  <si>
    <t>Pigoen</t>
  </si>
  <si>
    <t>Ingrid Marie</t>
  </si>
  <si>
    <t>Doyenne</t>
  </si>
  <si>
    <t>Gloster*</t>
  </si>
  <si>
    <t>* From 2007 Gloster is included in others</t>
  </si>
  <si>
    <t>Abate Fetel</t>
  </si>
  <si>
    <t>Decana del C.</t>
  </si>
  <si>
    <t>Morgenduft</t>
  </si>
  <si>
    <t>Renette</t>
  </si>
  <si>
    <t>Jonagold (incl. Jonagored)</t>
  </si>
  <si>
    <t>Fuji Group</t>
  </si>
  <si>
    <t>Gala Group</t>
  </si>
  <si>
    <t>Golden Group</t>
  </si>
  <si>
    <t>Llimonera</t>
  </si>
  <si>
    <t>Glockenapfel</t>
  </si>
  <si>
    <t>Kanada Reinette</t>
  </si>
  <si>
    <t>Maigold</t>
  </si>
  <si>
    <t>Rubinette</t>
  </si>
  <si>
    <t>Boscs Flaschenbirne</t>
  </si>
  <si>
    <t>Gute Luise</t>
  </si>
  <si>
    <t>European countries by variety</t>
  </si>
  <si>
    <t>Reine de renettes</t>
  </si>
  <si>
    <t>Ariane</t>
  </si>
  <si>
    <t>Pear Stocks  (Ton)</t>
  </si>
  <si>
    <t>Reinette</t>
  </si>
  <si>
    <t>Other new varieties*</t>
  </si>
  <si>
    <t>Tentation</t>
  </si>
  <si>
    <t>Belchard/Chantecler</t>
  </si>
  <si>
    <t>Rouges</t>
  </si>
  <si>
    <t>Jazz</t>
  </si>
  <si>
    <t>Honey Crunch</t>
  </si>
  <si>
    <t>Sundowner</t>
  </si>
  <si>
    <t>AMI</t>
  </si>
  <si>
    <t>ANPP</t>
  </si>
  <si>
    <t>France</t>
  </si>
  <si>
    <t>Red Jonaprince</t>
  </si>
  <si>
    <t>Other new varieties</t>
  </si>
  <si>
    <t>Denmark:</t>
  </si>
  <si>
    <t>Goldrush</t>
  </si>
  <si>
    <t>Angelys</t>
  </si>
  <si>
    <t>Beurré Hardy</t>
  </si>
  <si>
    <t>Guyot</t>
  </si>
  <si>
    <t>Passe Crassane</t>
  </si>
  <si>
    <t>Williams</t>
  </si>
  <si>
    <t>Club varieties</t>
  </si>
  <si>
    <t>FEBRUARY</t>
  </si>
  <si>
    <t>Choupette</t>
  </si>
  <si>
    <t xml:space="preserve">* Other new varieties: Ariane, Belgica, Cameo, Diwa, Greenstar, Goldrush, Honey Crunch, Jazz, Junami, Kanzi, Mairac, Rubens, Tentation (temptation), Wellant, ... </t>
  </si>
  <si>
    <t>Portugal:</t>
  </si>
  <si>
    <t>ANP - Associação Nacional de Produtores de Pera Rocha</t>
  </si>
  <si>
    <t>Concorde</t>
  </si>
  <si>
    <t>Doyenne du Comice</t>
  </si>
  <si>
    <t>Golden Delicius</t>
  </si>
  <si>
    <t>Rocha</t>
  </si>
  <si>
    <t>Portugal</t>
  </si>
  <si>
    <t>Evelina</t>
  </si>
  <si>
    <t>Bohemica</t>
  </si>
  <si>
    <t>Lucasova</t>
  </si>
  <si>
    <t>Ligol</t>
  </si>
  <si>
    <t>AFRUCAT</t>
  </si>
  <si>
    <t>Honey crisp</t>
  </si>
  <si>
    <t>** From 12/2014 Cox's is included in others</t>
  </si>
  <si>
    <t>Cox**</t>
  </si>
  <si>
    <t>Durondeau</t>
  </si>
  <si>
    <t>Data on Rocha pears will only be published every two months (next update 1 March)</t>
  </si>
  <si>
    <t>Forelle</t>
  </si>
  <si>
    <t>United Kingdom**</t>
  </si>
  <si>
    <t>** As of the 2016/ 2017 season, the UK works with a different methodology, which is why the figures are not comparable.</t>
  </si>
  <si>
    <t>Cosmic Crisp</t>
  </si>
  <si>
    <t>British Apples &amp; Pears</t>
  </si>
  <si>
    <t>Slovakia</t>
  </si>
  <si>
    <t>Beurre Alexander Lucas**</t>
  </si>
  <si>
    <t>*** Starting from the 2022-2023 season, Italian pears work with a different methodology, which is why the figures are not comparable with previous years.</t>
  </si>
  <si>
    <t>Moved 2024</t>
  </si>
  <si>
    <t>United Kingdom</t>
  </si>
  <si>
    <t>%YOY</t>
  </si>
  <si>
    <t>Moved 2025</t>
  </si>
  <si>
    <t>Overview Northern Hemisphere apple and pear stocks 2024-2025</t>
  </si>
  <si>
    <t>* Portugal: Rocha stocks are compared per two months, in this case to stocks of 1 January</t>
  </si>
  <si>
    <t>Please note that this is just an indication. There might be a difference of  +- 10%</t>
  </si>
  <si>
    <t>A significant part of apples are sold to the industry</t>
  </si>
  <si>
    <t>* As of 2017, the UK works with a different methodology, which is why the figures are not comparable.</t>
  </si>
  <si>
    <t>Moved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</si>
</sst>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3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i/>
      <sz val="14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9" fillId="4" borderId="0" applyNumberFormat="0" applyBorder="0" applyAlignment="0" applyProtection="0"/>
    <xf numFmtId="0" fontId="3" fillId="0" borderId="0"/>
    <xf numFmtId="0" fontId="3" fillId="0" borderId="0"/>
    <xf numFmtId="0" fontId="3" fillId="0" borderId="0"/>
  </cellStyleXfs>
  <cellXfs count="179">
    <xf numFmtId="0" fontId="0" fillId="0" borderId="0" xfId="0"/>
    <xf numFmtId="3" fontId="0" fillId="0" borderId="0" xfId="0" applyNumberFormat="1"/>
    <xf numFmtId="3" fontId="1" fillId="0" borderId="0" xfId="0" applyNumberFormat="1" applyFont="1"/>
    <xf numFmtId="0" fontId="3" fillId="0" borderId="0" xfId="0" applyFont="1"/>
    <xf numFmtId="0" fontId="0" fillId="0" borderId="1" xfId="0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/>
    <xf numFmtId="14" fontId="1" fillId="0" borderId="0" xfId="0" applyNumberFormat="1" applyFont="1"/>
    <xf numFmtId="3" fontId="0" fillId="0" borderId="1" xfId="0" applyNumberFormat="1" applyBorder="1"/>
    <xf numFmtId="3" fontId="0" fillId="0" borderId="0" xfId="0" applyNumberFormat="1" applyAlignment="1">
      <alignment horizontal="center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9" fontId="0" fillId="0" borderId="0" xfId="0" applyNumberFormat="1" applyAlignment="1">
      <alignment horizontal="center"/>
    </xf>
    <xf numFmtId="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left" vertical="center" wrapText="1"/>
    </xf>
    <xf numFmtId="0" fontId="0" fillId="0" borderId="0" xfId="0" quotePrefix="1"/>
    <xf numFmtId="0" fontId="7" fillId="0" borderId="0" xfId="0" applyFont="1"/>
    <xf numFmtId="0" fontId="0" fillId="2" borderId="2" xfId="0" applyFill="1" applyBorder="1"/>
    <xf numFmtId="0" fontId="0" fillId="2" borderId="2" xfId="0" quotePrefix="1" applyFill="1" applyBorder="1"/>
    <xf numFmtId="0" fontId="0" fillId="2" borderId="3" xfId="0" quotePrefix="1" applyFill="1" applyBorder="1"/>
    <xf numFmtId="0" fontId="1" fillId="2" borderId="4" xfId="0" applyFont="1" applyFill="1" applyBorder="1"/>
    <xf numFmtId="0" fontId="1" fillId="3" borderId="5" xfId="0" applyFont="1" applyFill="1" applyBorder="1"/>
    <xf numFmtId="14" fontId="1" fillId="0" borderId="5" xfId="0" applyNumberFormat="1" applyFont="1" applyBorder="1" applyAlignment="1">
      <alignment horizontal="center"/>
    </xf>
    <xf numFmtId="14" fontId="1" fillId="0" borderId="6" xfId="0" applyNumberFormat="1" applyFont="1" applyBorder="1" applyAlignment="1">
      <alignment horizontal="center"/>
    </xf>
    <xf numFmtId="164" fontId="0" fillId="3" borderId="0" xfId="0" applyNumberFormat="1" applyFill="1"/>
    <xf numFmtId="164" fontId="0" fillId="3" borderId="1" xfId="0" applyNumberFormat="1" applyFill="1" applyBorder="1"/>
    <xf numFmtId="3" fontId="0" fillId="0" borderId="7" xfId="0" applyNumberFormat="1" applyBorder="1"/>
    <xf numFmtId="0" fontId="0" fillId="2" borderId="3" xfId="0" applyFill="1" applyBorder="1"/>
    <xf numFmtId="3" fontId="0" fillId="0" borderId="8" xfId="0" applyNumberFormat="1" applyBorder="1"/>
    <xf numFmtId="0" fontId="1" fillId="2" borderId="3" xfId="0" applyFont="1" applyFill="1" applyBorder="1"/>
    <xf numFmtId="164" fontId="1" fillId="3" borderId="1" xfId="0" applyNumberFormat="1" applyFont="1" applyFill="1" applyBorder="1"/>
    <xf numFmtId="3" fontId="1" fillId="0" borderId="1" xfId="0" applyNumberFormat="1" applyFont="1" applyBorder="1"/>
    <xf numFmtId="3" fontId="1" fillId="0" borderId="8" xfId="0" applyNumberFormat="1" applyFont="1" applyBorder="1"/>
    <xf numFmtId="164" fontId="0" fillId="0" borderId="0" xfId="0" applyNumberFormat="1"/>
    <xf numFmtId="3" fontId="3" fillId="0" borderId="1" xfId="0" applyNumberFormat="1" applyFont="1" applyBorder="1"/>
    <xf numFmtId="3" fontId="3" fillId="0" borderId="0" xfId="0" applyNumberFormat="1" applyFont="1"/>
    <xf numFmtId="0" fontId="1" fillId="5" borderId="4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1" fillId="5" borderId="3" xfId="0" applyFont="1" applyFill="1" applyBorder="1"/>
    <xf numFmtId="3" fontId="3" fillId="6" borderId="0" xfId="0" applyNumberFormat="1" applyFont="1" applyFill="1"/>
    <xf numFmtId="3" fontId="3" fillId="6" borderId="1" xfId="0" applyNumberFormat="1" applyFont="1" applyFill="1" applyBorder="1"/>
    <xf numFmtId="3" fontId="1" fillId="6" borderId="5" xfId="0" applyNumberFormat="1" applyFont="1" applyFill="1" applyBorder="1"/>
    <xf numFmtId="3" fontId="1" fillId="0" borderId="5" xfId="0" applyNumberFormat="1" applyFont="1" applyBorder="1"/>
    <xf numFmtId="164" fontId="3" fillId="7" borderId="0" xfId="0" applyNumberFormat="1" applyFont="1" applyFill="1"/>
    <xf numFmtId="164" fontId="3" fillId="7" borderId="1" xfId="0" applyNumberFormat="1" applyFont="1" applyFill="1" applyBorder="1"/>
    <xf numFmtId="0" fontId="1" fillId="8" borderId="5" xfId="0" applyFont="1" applyFill="1" applyBorder="1"/>
    <xf numFmtId="3" fontId="0" fillId="8" borderId="0" xfId="0" applyNumberFormat="1" applyFill="1"/>
    <xf numFmtId="3" fontId="0" fillId="8" borderId="1" xfId="0" applyNumberFormat="1" applyFill="1" applyBorder="1"/>
    <xf numFmtId="3" fontId="1" fillId="8" borderId="1" xfId="0" applyNumberFormat="1" applyFont="1" applyFill="1" applyBorder="1"/>
    <xf numFmtId="0" fontId="3" fillId="0" borderId="0" xfId="2"/>
    <xf numFmtId="0" fontId="1" fillId="5" borderId="4" xfId="2" applyFont="1" applyFill="1" applyBorder="1"/>
    <xf numFmtId="14" fontId="1" fillId="0" borderId="5" xfId="2" applyNumberFormat="1" applyFont="1" applyBorder="1" applyAlignment="1">
      <alignment horizontal="center"/>
    </xf>
    <xf numFmtId="0" fontId="3" fillId="5" borderId="2" xfId="2" applyFill="1" applyBorder="1"/>
    <xf numFmtId="164" fontId="3" fillId="7" borderId="0" xfId="2" applyNumberFormat="1" applyFill="1"/>
    <xf numFmtId="3" fontId="3" fillId="6" borderId="0" xfId="2" applyNumberFormat="1" applyFill="1"/>
    <xf numFmtId="3" fontId="3" fillId="0" borderId="0" xfId="2" applyNumberFormat="1"/>
    <xf numFmtId="0" fontId="3" fillId="5" borderId="3" xfId="2" applyFill="1" applyBorder="1"/>
    <xf numFmtId="164" fontId="3" fillId="7" borderId="1" xfId="2" applyNumberFormat="1" applyFill="1" applyBorder="1"/>
    <xf numFmtId="3" fontId="3" fillId="6" borderId="1" xfId="2" applyNumberFormat="1" applyFill="1" applyBorder="1"/>
    <xf numFmtId="3" fontId="3" fillId="0" borderId="1" xfId="2" applyNumberFormat="1" applyBorder="1"/>
    <xf numFmtId="0" fontId="1" fillId="5" borderId="3" xfId="2" applyFont="1" applyFill="1" applyBorder="1"/>
    <xf numFmtId="164" fontId="1" fillId="7" borderId="5" xfId="2" applyNumberFormat="1" applyFont="1" applyFill="1" applyBorder="1"/>
    <xf numFmtId="3" fontId="1" fillId="6" borderId="5" xfId="2" applyNumberFormat="1" applyFont="1" applyFill="1" applyBorder="1"/>
    <xf numFmtId="3" fontId="3" fillId="0" borderId="5" xfId="2" applyNumberForma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14" fontId="1" fillId="0" borderId="6" xfId="2" applyNumberFormat="1" applyFont="1" applyBorder="1" applyAlignment="1">
      <alignment horizontal="center"/>
    </xf>
    <xf numFmtId="3" fontId="3" fillId="0" borderId="7" xfId="2" applyNumberFormat="1" applyBorder="1"/>
    <xf numFmtId="3" fontId="3" fillId="0" borderId="8" xfId="2" applyNumberFormat="1" applyBorder="1"/>
    <xf numFmtId="3" fontId="3" fillId="0" borderId="6" xfId="2" applyNumberFormat="1" applyBorder="1"/>
    <xf numFmtId="3" fontId="1" fillId="8" borderId="5" xfId="0" applyNumberFormat="1" applyFont="1" applyFill="1" applyBorder="1"/>
    <xf numFmtId="0" fontId="3" fillId="2" borderId="2" xfId="0" applyFont="1" applyFill="1" applyBorder="1"/>
    <xf numFmtId="0" fontId="10" fillId="0" borderId="0" xfId="0" applyFont="1"/>
    <xf numFmtId="3" fontId="3" fillId="8" borderId="0" xfId="2" applyNumberFormat="1" applyFill="1"/>
    <xf numFmtId="3" fontId="3" fillId="8" borderId="1" xfId="2" applyNumberFormat="1" applyFill="1" applyBorder="1"/>
    <xf numFmtId="3" fontId="3" fillId="8" borderId="0" xfId="0" applyNumberFormat="1" applyFont="1" applyFill="1"/>
    <xf numFmtId="3" fontId="9" fillId="4" borderId="7" xfId="1" applyNumberFormat="1" applyBorder="1"/>
    <xf numFmtId="0" fontId="1" fillId="0" borderId="0" xfId="2" applyFont="1"/>
    <xf numFmtId="164" fontId="1" fillId="7" borderId="1" xfId="0" applyNumberFormat="1" applyFont="1" applyFill="1" applyBorder="1"/>
    <xf numFmtId="0" fontId="1" fillId="0" borderId="5" xfId="0" applyFont="1" applyBorder="1"/>
    <xf numFmtId="3" fontId="0" fillId="0" borderId="0" xfId="0" quotePrefix="1" applyNumberFormat="1"/>
    <xf numFmtId="3" fontId="0" fillId="0" borderId="1" xfId="0" quotePrefix="1" applyNumberFormat="1" applyBorder="1"/>
    <xf numFmtId="14" fontId="1" fillId="0" borderId="5" xfId="0" applyNumberFormat="1" applyFont="1" applyBorder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1" fillId="0" borderId="5" xfId="2" applyNumberFormat="1" applyFont="1" applyBorder="1"/>
    <xf numFmtId="3" fontId="1" fillId="0" borderId="6" xfId="2" applyNumberFormat="1" applyFont="1" applyBorder="1"/>
    <xf numFmtId="3" fontId="1" fillId="8" borderId="5" xfId="2" applyNumberFormat="1" applyFont="1" applyFill="1" applyBorder="1"/>
    <xf numFmtId="3" fontId="0" fillId="0" borderId="0" xfId="0" applyNumberFormat="1" applyAlignment="1">
      <alignment horizontal="right"/>
    </xf>
    <xf numFmtId="3" fontId="0" fillId="0" borderId="1" xfId="0" applyNumberForma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164" fontId="1" fillId="7" borderId="1" xfId="2" applyNumberFormat="1" applyFont="1" applyFill="1" applyBorder="1"/>
    <xf numFmtId="164" fontId="3" fillId="7" borderId="5" xfId="2" applyNumberFormat="1" applyFill="1" applyBorder="1"/>
    <xf numFmtId="3" fontId="1" fillId="0" borderId="6" xfId="0" applyNumberFormat="1" applyFont="1" applyBorder="1"/>
    <xf numFmtId="0" fontId="3" fillId="5" borderId="9" xfId="2" applyFill="1" applyBorder="1"/>
    <xf numFmtId="164" fontId="3" fillId="7" borderId="10" xfId="2" applyNumberFormat="1" applyFill="1" applyBorder="1"/>
    <xf numFmtId="3" fontId="3" fillId="0" borderId="10" xfId="2" applyNumberFormat="1" applyBorder="1"/>
    <xf numFmtId="3" fontId="3" fillId="0" borderId="11" xfId="2" applyNumberFormat="1" applyBorder="1"/>
    <xf numFmtId="3" fontId="9" fillId="4" borderId="0" xfId="1" applyNumberFormat="1" applyBorder="1"/>
    <xf numFmtId="3" fontId="3" fillId="0" borderId="7" xfId="0" applyNumberFormat="1" applyFont="1" applyBorder="1" applyAlignment="1">
      <alignment horizontal="right"/>
    </xf>
    <xf numFmtId="3" fontId="1" fillId="6" borderId="1" xfId="0" applyNumberFormat="1" applyFont="1" applyFill="1" applyBorder="1"/>
    <xf numFmtId="3" fontId="1" fillId="0" borderId="1" xfId="2" applyNumberFormat="1" applyFont="1" applyBorder="1"/>
    <xf numFmtId="164" fontId="1" fillId="3" borderId="5" xfId="0" applyNumberFormat="1" applyFont="1" applyFill="1" applyBorder="1"/>
    <xf numFmtId="3" fontId="3" fillId="0" borderId="0" xfId="0" applyNumberFormat="1" applyFont="1" applyAlignment="1">
      <alignment horizontal="right"/>
    </xf>
    <xf numFmtId="164" fontId="3" fillId="7" borderId="0" xfId="0" applyNumberFormat="1" applyFont="1" applyFill="1" applyAlignment="1">
      <alignment horizontal="right"/>
    </xf>
    <xf numFmtId="164" fontId="1" fillId="7" borderId="5" xfId="2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164" fontId="3" fillId="7" borderId="0" xfId="2" applyNumberFormat="1" applyFill="1" applyAlignment="1">
      <alignment horizontal="right"/>
    </xf>
    <xf numFmtId="164" fontId="3" fillId="7" borderId="1" xfId="2" applyNumberFormat="1" applyFill="1" applyBorder="1" applyAlignment="1">
      <alignment horizontal="right"/>
    </xf>
    <xf numFmtId="3" fontId="0" fillId="6" borderId="0" xfId="0" applyNumberFormat="1" applyFill="1"/>
    <xf numFmtId="164" fontId="0" fillId="3" borderId="0" xfId="0" applyNumberFormat="1" applyFill="1" applyAlignment="1">
      <alignment horizontal="right"/>
    </xf>
    <xf numFmtId="164" fontId="0" fillId="3" borderId="1" xfId="0" applyNumberFormat="1" applyFill="1" applyBorder="1" applyAlignment="1">
      <alignment horizontal="right"/>
    </xf>
    <xf numFmtId="164" fontId="1" fillId="3" borderId="1" xfId="0" applyNumberFormat="1" applyFont="1" applyFill="1" applyBorder="1" applyAlignment="1">
      <alignment horizontal="right"/>
    </xf>
    <xf numFmtId="164" fontId="0" fillId="0" borderId="0" xfId="0" applyNumberFormat="1" applyAlignment="1">
      <alignment horizontal="right"/>
    </xf>
    <xf numFmtId="164" fontId="3" fillId="7" borderId="1" xfId="0" applyNumberFormat="1" applyFont="1" applyFill="1" applyBorder="1" applyAlignment="1">
      <alignment horizontal="right"/>
    </xf>
    <xf numFmtId="164" fontId="1" fillId="7" borderId="1" xfId="0" applyNumberFormat="1" applyFont="1" applyFill="1" applyBorder="1" applyAlignment="1">
      <alignment horizontal="right"/>
    </xf>
    <xf numFmtId="3" fontId="3" fillId="0" borderId="0" xfId="2" applyNumberFormat="1" applyAlignment="1">
      <alignment horizontal="right"/>
    </xf>
    <xf numFmtId="14" fontId="1" fillId="0" borderId="0" xfId="0" applyNumberFormat="1" applyFont="1" applyAlignment="1">
      <alignment horizontal="center"/>
    </xf>
    <xf numFmtId="14" fontId="1" fillId="0" borderId="7" xfId="0" applyNumberFormat="1" applyFont="1" applyBorder="1" applyAlignment="1">
      <alignment horizontal="center"/>
    </xf>
    <xf numFmtId="3" fontId="0" fillId="6" borderId="1" xfId="0" applyNumberFormat="1" applyFill="1" applyBorder="1"/>
    <xf numFmtId="3" fontId="0" fillId="6" borderId="0" xfId="0" applyNumberFormat="1" applyFill="1" applyAlignment="1">
      <alignment horizontal="right"/>
    </xf>
    <xf numFmtId="3" fontId="3" fillId="6" borderId="10" xfId="2" applyNumberFormat="1" applyFill="1" applyBorder="1"/>
    <xf numFmtId="3" fontId="3" fillId="6" borderId="0" xfId="2" applyNumberFormat="1" applyFill="1" applyAlignment="1">
      <alignment horizontal="right"/>
    </xf>
    <xf numFmtId="3" fontId="8" fillId="0" borderId="5" xfId="2" applyNumberFormat="1" applyFont="1" applyBorder="1"/>
    <xf numFmtId="3" fontId="0" fillId="6" borderId="1" xfId="0" applyNumberFormat="1" applyFill="1" applyBorder="1" applyAlignment="1">
      <alignment horizontal="right"/>
    </xf>
    <xf numFmtId="3" fontId="1" fillId="6" borderId="1" xfId="0" applyNumberFormat="1" applyFont="1" applyFill="1" applyBorder="1" applyAlignment="1">
      <alignment horizontal="right"/>
    </xf>
    <xf numFmtId="164" fontId="3" fillId="0" borderId="0" xfId="0" applyNumberFormat="1" applyFont="1"/>
    <xf numFmtId="3" fontId="3" fillId="0" borderId="0" xfId="0" quotePrefix="1" applyNumberFormat="1" applyFont="1"/>
    <xf numFmtId="3" fontId="3" fillId="0" borderId="1" xfId="0" quotePrefix="1" applyNumberFormat="1" applyFont="1" applyBorder="1"/>
    <xf numFmtId="3" fontId="3" fillId="8" borderId="1" xfId="0" applyNumberFormat="1" applyFont="1" applyFill="1" applyBorder="1"/>
    <xf numFmtId="3" fontId="3" fillId="8" borderId="0" xfId="0" applyNumberFormat="1" applyFont="1" applyFill="1" applyAlignment="1">
      <alignment horizontal="right"/>
    </xf>
    <xf numFmtId="3" fontId="0" fillId="8" borderId="0" xfId="0" applyNumberFormat="1" applyFill="1" applyAlignment="1">
      <alignment horizontal="right"/>
    </xf>
    <xf numFmtId="3" fontId="0" fillId="8" borderId="1" xfId="0" applyNumberFormat="1" applyFill="1" applyBorder="1" applyAlignment="1">
      <alignment horizontal="right"/>
    </xf>
    <xf numFmtId="3" fontId="1" fillId="8" borderId="1" xfId="0" applyNumberFormat="1" applyFont="1" applyFill="1" applyBorder="1" applyAlignment="1">
      <alignment horizontal="right"/>
    </xf>
    <xf numFmtId="3" fontId="3" fillId="8" borderId="0" xfId="2" applyNumberFormat="1" applyFill="1" applyAlignment="1">
      <alignment horizontal="right"/>
    </xf>
    <xf numFmtId="3" fontId="3" fillId="8" borderId="1" xfId="0" applyNumberFormat="1" applyFont="1" applyFill="1" applyBorder="1" applyAlignment="1">
      <alignment horizontal="right"/>
    </xf>
    <xf numFmtId="3" fontId="3" fillId="8" borderId="10" xfId="2" applyNumberFormat="1" applyFill="1" applyBorder="1"/>
    <xf numFmtId="3" fontId="1" fillId="8" borderId="1" xfId="2" applyNumberFormat="1" applyFont="1" applyFill="1" applyBorder="1"/>
    <xf numFmtId="164" fontId="3" fillId="6" borderId="0" xfId="0" applyNumberFormat="1" applyFont="1" applyFill="1"/>
    <xf numFmtId="164" fontId="3" fillId="6" borderId="1" xfId="0" applyNumberFormat="1" applyFont="1" applyFill="1" applyBorder="1"/>
    <xf numFmtId="164" fontId="1" fillId="6" borderId="1" xfId="0" applyNumberFormat="1" applyFont="1" applyFill="1" applyBorder="1"/>
    <xf numFmtId="164" fontId="3" fillId="8" borderId="0" xfId="0" applyNumberFormat="1" applyFont="1" applyFill="1"/>
    <xf numFmtId="164" fontId="3" fillId="8" borderId="1" xfId="0" applyNumberFormat="1" applyFont="1" applyFill="1" applyBorder="1"/>
    <xf numFmtId="164" fontId="1" fillId="8" borderId="1" xfId="0" applyNumberFormat="1" applyFont="1" applyFill="1" applyBorder="1"/>
    <xf numFmtId="164" fontId="3" fillId="0" borderId="1" xfId="0" applyNumberFormat="1" applyFont="1" applyBorder="1"/>
    <xf numFmtId="164" fontId="1" fillId="0" borderId="1" xfId="0" applyNumberFormat="1" applyFont="1" applyBorder="1"/>
    <xf numFmtId="3" fontId="0" fillId="8" borderId="5" xfId="0" applyNumberFormat="1" applyFill="1" applyBorder="1"/>
    <xf numFmtId="3" fontId="0" fillId="0" borderId="5" xfId="0" applyNumberFormat="1" applyBorder="1"/>
    <xf numFmtId="164" fontId="1" fillId="7" borderId="5" xfId="0" applyNumberFormat="1" applyFont="1" applyFill="1" applyBorder="1"/>
    <xf numFmtId="164" fontId="3" fillId="3" borderId="0" xfId="2" applyNumberFormat="1" applyFill="1"/>
    <xf numFmtId="3" fontId="3" fillId="9" borderId="0" xfId="2" applyNumberFormat="1" applyFill="1"/>
    <xf numFmtId="3" fontId="11" fillId="0" borderId="0" xfId="0" applyNumberFormat="1" applyFont="1"/>
    <xf numFmtId="3" fontId="11" fillId="0" borderId="1" xfId="0" applyNumberFormat="1" applyFont="1" applyBorder="1"/>
    <xf numFmtId="165" fontId="0" fillId="0" borderId="0" xfId="0" applyNumberFormat="1"/>
    <xf numFmtId="14" fontId="1" fillId="6" borderId="5" xfId="0" applyNumberFormat="1" applyFont="1" applyFill="1" applyBorder="1"/>
    <xf numFmtId="2" fontId="0" fillId="0" borderId="0" xfId="0" applyNumberFormat="1"/>
    <xf numFmtId="3" fontId="0" fillId="10" borderId="0" xfId="0" applyNumberFormat="1" applyFill="1"/>
    <xf numFmtId="3" fontId="3" fillId="10" borderId="0" xfId="3" applyNumberFormat="1" applyFill="1"/>
    <xf numFmtId="3" fontId="0" fillId="10" borderId="7" xfId="0" applyNumberFormat="1" applyFill="1" applyBorder="1"/>
    <xf numFmtId="3" fontId="0" fillId="10" borderId="1" xfId="0" applyNumberFormat="1" applyFill="1" applyBorder="1"/>
    <xf numFmtId="3" fontId="3" fillId="10" borderId="1" xfId="3" applyNumberFormat="1" applyFill="1" applyBorder="1"/>
    <xf numFmtId="3" fontId="0" fillId="10" borderId="8" xfId="0" applyNumberFormat="1" applyFill="1" applyBorder="1"/>
    <xf numFmtId="3" fontId="1" fillId="10" borderId="1" xfId="0" applyNumberFormat="1" applyFont="1" applyFill="1" applyBorder="1"/>
    <xf numFmtId="3" fontId="1" fillId="10" borderId="1" xfId="3" applyNumberFormat="1" applyFont="1" applyFill="1" applyBorder="1"/>
    <xf numFmtId="3" fontId="1" fillId="10" borderId="8" xfId="0" applyNumberFormat="1" applyFont="1" applyFill="1" applyBorder="1"/>
    <xf numFmtId="0" fontId="0" fillId="5" borderId="3" xfId="0" applyFill="1" applyBorder="1"/>
    <xf numFmtId="0" fontId="0" fillId="5" borderId="2" xfId="0" applyFill="1" applyBorder="1"/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 vertical="center" wrapText="1"/>
    </xf>
    <xf numFmtId="3" fontId="0" fillId="0" borderId="0" xfId="0" quotePrefix="1" applyNumberFormat="1" applyAlignment="1">
      <alignment horizontal="right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164" fontId="2" fillId="0" borderId="0" xfId="0" applyNumberFormat="1" applyFont="1"/>
  </cellXfs>
  <cellStyles count="5">
    <cellStyle name="Bad" xfId="1" builtinId="27"/>
    <cellStyle name="Normal" xfId="0" builtinId="0"/>
    <cellStyle name="Normal 2" xfId="2" xr:uid="{00000000-0005-0000-0000-000002000000}"/>
    <cellStyle name="Normale 2" xfId="3" xr:uid="{00000000-0005-0000-0000-000003000000}"/>
    <cellStyle name="Normale 6" xfId="4" xr:uid="{00000000-0005-0000-0000-000004000000}"/>
  </cellStyles>
  <dxfs count="40"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</dxfs>
  <tableStyles count="0" defaultTableStyle="TableStyleMedium9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:/WINDOWS/Temporary%20Internet%20Files/Content.IE5/5WGFLPOD/wapa.jp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1</xdr:row>
      <xdr:rowOff>53340</xdr:rowOff>
    </xdr:from>
    <xdr:to>
      <xdr:col>4</xdr:col>
      <xdr:colOff>274320</xdr:colOff>
      <xdr:row>16</xdr:row>
      <xdr:rowOff>129540</xdr:rowOff>
    </xdr:to>
    <xdr:pic>
      <xdr:nvPicPr>
        <xdr:cNvPr id="30752" name="Picture 294" descr="The image “file:///C:/WINDOWS/Temporary%20Internet%20Files/Content.IE5/5WGFLPOD/wapa.jpg” cannot be displayed, because it contains errors.">
          <a:extLst>
            <a:ext uri="{FF2B5EF4-FFF2-40B4-BE49-F238E27FC236}">
              <a16:creationId xmlns:a16="http://schemas.microsoft.com/office/drawing/2014/main" id="{783E0854-3CD5-8DA8-1813-14E76C3DF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220980"/>
          <a:ext cx="2743200" cy="2590800"/>
        </a:xfrm>
        <a:prstGeom prst="rect">
          <a:avLst/>
        </a:prstGeom>
        <a:noFill/>
        <a:ln w="15875">
          <a:solidFill>
            <a:srgbClr val="0099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9:G39"/>
  <sheetViews>
    <sheetView zoomScale="90" zoomScaleNormal="90" workbookViewId="0"/>
  </sheetViews>
  <sheetFormatPr defaultColWidth="9.109375" defaultRowHeight="13.2" x14ac:dyDescent="0.25"/>
  <cols>
    <col min="3" max="3" width="18.44140625" customWidth="1"/>
  </cols>
  <sheetData>
    <row r="19" spans="2:7" x14ac:dyDescent="0.25">
      <c r="B19" s="3" t="s">
        <v>174</v>
      </c>
      <c r="G19" s="8" t="s">
        <v>142</v>
      </c>
    </row>
    <row r="21" spans="2:7" x14ac:dyDescent="0.25">
      <c r="B21" t="s">
        <v>61</v>
      </c>
      <c r="C21" t="s">
        <v>62</v>
      </c>
    </row>
    <row r="22" spans="2:7" x14ac:dyDescent="0.25">
      <c r="C22" t="s">
        <v>63</v>
      </c>
    </row>
    <row r="23" spans="2:7" x14ac:dyDescent="0.25">
      <c r="C23" t="s">
        <v>88</v>
      </c>
    </row>
    <row r="24" spans="2:7" x14ac:dyDescent="0.25">
      <c r="C24" s="3" t="s">
        <v>117</v>
      </c>
    </row>
    <row r="26" spans="2:7" x14ac:dyDescent="0.25">
      <c r="B26" t="s">
        <v>64</v>
      </c>
      <c r="C26" t="s">
        <v>65</v>
      </c>
      <c r="D26" t="s">
        <v>66</v>
      </c>
    </row>
    <row r="27" spans="2:7" x14ac:dyDescent="0.25">
      <c r="C27" t="s">
        <v>67</v>
      </c>
      <c r="D27" t="s">
        <v>68</v>
      </c>
    </row>
    <row r="28" spans="2:7" x14ac:dyDescent="0.25">
      <c r="C28" t="s">
        <v>69</v>
      </c>
      <c r="D28" t="s">
        <v>70</v>
      </c>
    </row>
    <row r="29" spans="2:7" x14ac:dyDescent="0.25">
      <c r="C29" t="s">
        <v>71</v>
      </c>
      <c r="D29" s="3" t="s">
        <v>84</v>
      </c>
    </row>
    <row r="30" spans="2:7" x14ac:dyDescent="0.25">
      <c r="C30" s="3" t="s">
        <v>134</v>
      </c>
      <c r="D30" t="s">
        <v>72</v>
      </c>
    </row>
    <row r="31" spans="2:7" x14ac:dyDescent="0.25">
      <c r="C31" t="s">
        <v>73</v>
      </c>
      <c r="D31" t="s">
        <v>130</v>
      </c>
    </row>
    <row r="32" spans="2:7" x14ac:dyDescent="0.25">
      <c r="C32" t="s">
        <v>74</v>
      </c>
      <c r="D32" t="s">
        <v>129</v>
      </c>
    </row>
    <row r="33" spans="3:4" x14ac:dyDescent="0.25">
      <c r="C33" t="s">
        <v>75</v>
      </c>
      <c r="D33" t="s">
        <v>76</v>
      </c>
    </row>
    <row r="34" spans="3:4" x14ac:dyDescent="0.25">
      <c r="C34" t="s">
        <v>77</v>
      </c>
      <c r="D34" s="19" t="s">
        <v>83</v>
      </c>
    </row>
    <row r="35" spans="3:4" x14ac:dyDescent="0.25">
      <c r="C35" t="s">
        <v>145</v>
      </c>
      <c r="D35" s="19" t="s">
        <v>146</v>
      </c>
    </row>
    <row r="36" spans="3:4" x14ac:dyDescent="0.25">
      <c r="C36" t="s">
        <v>79</v>
      </c>
      <c r="D36" t="s">
        <v>156</v>
      </c>
    </row>
    <row r="37" spans="3:4" x14ac:dyDescent="0.25">
      <c r="C37" t="s">
        <v>78</v>
      </c>
      <c r="D37" t="s">
        <v>82</v>
      </c>
    </row>
    <row r="38" spans="3:4" x14ac:dyDescent="0.25">
      <c r="C38" t="s">
        <v>80</v>
      </c>
      <c r="D38" s="3" t="s">
        <v>129</v>
      </c>
    </row>
    <row r="39" spans="3:4" x14ac:dyDescent="0.25">
      <c r="C39" t="s">
        <v>81</v>
      </c>
      <c r="D39" t="s">
        <v>166</v>
      </c>
    </row>
  </sheetData>
  <phoneticPr fontId="2" type="noConversion"/>
  <pageMargins left="0.75" right="0.75" top="1" bottom="1" header="0.5" footer="0.5"/>
  <pageSetup paperSize="9" orientation="portrait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29"/>
  <sheetViews>
    <sheetView zoomScaleNormal="100" workbookViewId="0"/>
  </sheetViews>
  <sheetFormatPr defaultColWidth="9.109375" defaultRowHeight="13.2" x14ac:dyDescent="0.25"/>
  <cols>
    <col min="1" max="1" width="19.33203125" customWidth="1"/>
    <col min="2" max="2" width="10.6640625" customWidth="1"/>
    <col min="3" max="3" width="11.6640625" bestFit="1" customWidth="1"/>
    <col min="4" max="4" width="11.33203125" bestFit="1" customWidth="1"/>
    <col min="5" max="13" width="11.33203125" customWidth="1"/>
    <col min="14" max="24" width="10.109375" bestFit="1" customWidth="1"/>
  </cols>
  <sheetData>
    <row r="1" spans="1:25" ht="13.8" thickBot="1" x14ac:dyDescent="0.3">
      <c r="A1" s="39" t="s">
        <v>89</v>
      </c>
      <c r="B1" s="24" t="s">
        <v>172</v>
      </c>
      <c r="C1" s="49" t="s">
        <v>179</v>
      </c>
      <c r="D1" s="83" t="s">
        <v>173</v>
      </c>
      <c r="E1" s="159">
        <v>46054</v>
      </c>
      <c r="F1" s="86">
        <v>45689</v>
      </c>
      <c r="G1" s="86">
        <v>45323</v>
      </c>
      <c r="H1" s="86">
        <v>44958</v>
      </c>
      <c r="I1" s="86">
        <v>44593</v>
      </c>
      <c r="J1" s="86">
        <v>44228</v>
      </c>
      <c r="K1" s="86">
        <v>43862</v>
      </c>
      <c r="L1" s="86">
        <v>43497</v>
      </c>
      <c r="M1" s="86">
        <v>43132</v>
      </c>
      <c r="N1" s="25">
        <v>42767</v>
      </c>
      <c r="O1" s="25">
        <v>42401</v>
      </c>
      <c r="P1" s="25">
        <v>42036</v>
      </c>
      <c r="Q1" s="25">
        <v>41671</v>
      </c>
      <c r="R1" s="25">
        <v>41306</v>
      </c>
      <c r="S1" s="25">
        <v>40940</v>
      </c>
      <c r="T1" s="25">
        <v>40575</v>
      </c>
      <c r="U1" s="25">
        <v>40210</v>
      </c>
      <c r="V1" s="25">
        <v>39845</v>
      </c>
      <c r="W1" s="25">
        <v>39479</v>
      </c>
      <c r="X1" s="26">
        <v>39114</v>
      </c>
    </row>
    <row r="2" spans="1:25" x14ac:dyDescent="0.25">
      <c r="A2" s="40" t="s">
        <v>4</v>
      </c>
      <c r="B2" s="47">
        <f t="shared" ref="B2:B21" si="0">IFERROR(((E2-F2)/F2),"")</f>
        <v>3.2333333333333334</v>
      </c>
      <c r="C2" s="79">
        <v>-1124</v>
      </c>
      <c r="D2" s="38">
        <v>-1635</v>
      </c>
      <c r="E2" s="43">
        <v>6477</v>
      </c>
      <c r="F2" s="38">
        <v>1530</v>
      </c>
      <c r="G2" s="38">
        <v>4856</v>
      </c>
      <c r="H2" s="38">
        <v>5122</v>
      </c>
      <c r="I2" s="38">
        <v>8151</v>
      </c>
      <c r="J2" s="38">
        <v>1047</v>
      </c>
      <c r="K2" s="38">
        <v>3528</v>
      </c>
      <c r="L2" s="38">
        <v>5951</v>
      </c>
      <c r="M2" s="38">
        <v>493</v>
      </c>
      <c r="N2" s="38">
        <v>7537</v>
      </c>
      <c r="O2" s="38">
        <v>3471</v>
      </c>
      <c r="P2" s="38">
        <v>6756</v>
      </c>
      <c r="Q2" s="38">
        <v>2146</v>
      </c>
      <c r="R2" s="38">
        <v>3935</v>
      </c>
      <c r="S2" s="38">
        <v>2023</v>
      </c>
      <c r="T2" s="38">
        <v>3416</v>
      </c>
      <c r="U2" s="38">
        <v>2333</v>
      </c>
      <c r="V2" s="38">
        <v>6767</v>
      </c>
      <c r="W2" s="38">
        <v>3906</v>
      </c>
      <c r="X2" s="68">
        <v>6955</v>
      </c>
    </row>
    <row r="3" spans="1:25" x14ac:dyDescent="0.25">
      <c r="A3" s="40" t="s">
        <v>11</v>
      </c>
      <c r="B3" s="47">
        <f t="shared" si="0"/>
        <v>0.58545215589142197</v>
      </c>
      <c r="C3" s="79">
        <v>-7859</v>
      </c>
      <c r="D3" s="38">
        <v>-6538</v>
      </c>
      <c r="E3" s="43">
        <v>31365</v>
      </c>
      <c r="F3" s="38">
        <v>19783</v>
      </c>
      <c r="G3" s="38">
        <v>23846</v>
      </c>
      <c r="H3" s="38">
        <v>30064</v>
      </c>
      <c r="I3" s="38">
        <v>28657</v>
      </c>
      <c r="J3" s="38">
        <v>28065</v>
      </c>
      <c r="K3" s="38">
        <v>26844</v>
      </c>
      <c r="L3" s="38">
        <v>32267</v>
      </c>
      <c r="M3" s="38">
        <v>11033</v>
      </c>
      <c r="N3" s="38">
        <v>24155</v>
      </c>
      <c r="O3" s="38">
        <v>34837</v>
      </c>
      <c r="P3" s="38">
        <v>26327</v>
      </c>
      <c r="Q3" s="38">
        <v>21596</v>
      </c>
      <c r="R3" s="38">
        <v>22234</v>
      </c>
      <c r="S3" s="38">
        <v>19025</v>
      </c>
      <c r="T3" s="38">
        <v>17796</v>
      </c>
      <c r="U3" s="38">
        <v>16747</v>
      </c>
      <c r="V3" s="38">
        <v>12786</v>
      </c>
      <c r="W3" s="38">
        <v>11592</v>
      </c>
      <c r="X3" s="68">
        <v>9003</v>
      </c>
    </row>
    <row r="4" spans="1:25" x14ac:dyDescent="0.25">
      <c r="A4" s="40" t="s">
        <v>5</v>
      </c>
      <c r="B4" s="47" t="str">
        <f t="shared" si="0"/>
        <v/>
      </c>
      <c r="C4" s="79">
        <v>0</v>
      </c>
      <c r="D4" s="38">
        <v>0</v>
      </c>
      <c r="E4" s="43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83</v>
      </c>
      <c r="M4" s="38">
        <v>0</v>
      </c>
      <c r="N4" s="38">
        <v>126</v>
      </c>
      <c r="O4" s="38">
        <v>398</v>
      </c>
      <c r="P4" s="38">
        <v>165</v>
      </c>
      <c r="Q4" s="38">
        <v>12</v>
      </c>
      <c r="R4" s="38">
        <v>8</v>
      </c>
      <c r="S4" s="38">
        <v>203</v>
      </c>
      <c r="T4" s="38">
        <v>114</v>
      </c>
      <c r="U4" s="38">
        <v>744</v>
      </c>
      <c r="V4" s="38">
        <v>790</v>
      </c>
      <c r="W4" s="38">
        <v>752</v>
      </c>
      <c r="X4" s="68">
        <v>1693</v>
      </c>
    </row>
    <row r="5" spans="1:25" x14ac:dyDescent="0.25">
      <c r="A5" s="40" t="s">
        <v>2</v>
      </c>
      <c r="B5" s="47">
        <f t="shared" si="0"/>
        <v>0.42646047347518362</v>
      </c>
      <c r="C5" s="79">
        <v>-11141</v>
      </c>
      <c r="D5" s="38">
        <v>-11743</v>
      </c>
      <c r="E5" s="43">
        <v>64292</v>
      </c>
      <c r="F5" s="38">
        <v>45071</v>
      </c>
      <c r="G5" s="38">
        <v>37600</v>
      </c>
      <c r="H5" s="38">
        <v>68531</v>
      </c>
      <c r="I5" s="38">
        <v>44972</v>
      </c>
      <c r="J5" s="38">
        <v>44162</v>
      </c>
      <c r="K5" s="38">
        <v>45013</v>
      </c>
      <c r="L5" s="38">
        <v>42003</v>
      </c>
      <c r="M5" s="38">
        <v>24509</v>
      </c>
      <c r="N5" s="38">
        <v>41117</v>
      </c>
      <c r="O5" s="38">
        <v>44848</v>
      </c>
      <c r="P5" s="38">
        <v>52909</v>
      </c>
      <c r="Q5" s="38">
        <v>34338</v>
      </c>
      <c r="R5" s="38">
        <v>34487</v>
      </c>
      <c r="S5" s="38">
        <v>44592</v>
      </c>
      <c r="T5" s="38">
        <v>32557</v>
      </c>
      <c r="U5" s="38">
        <v>50575</v>
      </c>
      <c r="V5" s="38">
        <v>33964</v>
      </c>
      <c r="W5" s="38">
        <v>43832</v>
      </c>
      <c r="X5" s="68">
        <v>39819</v>
      </c>
    </row>
    <row r="6" spans="1:25" x14ac:dyDescent="0.25">
      <c r="A6" s="40" t="s">
        <v>12</v>
      </c>
      <c r="B6" s="47">
        <f t="shared" si="0"/>
        <v>-2.1332335329341319E-2</v>
      </c>
      <c r="C6" s="79">
        <v>-550</v>
      </c>
      <c r="D6" s="38">
        <v>-933</v>
      </c>
      <c r="E6" s="43">
        <v>5230</v>
      </c>
      <c r="F6" s="38">
        <v>5344</v>
      </c>
      <c r="G6" s="38">
        <v>4405</v>
      </c>
      <c r="H6" s="38">
        <v>6683</v>
      </c>
      <c r="I6" s="38">
        <v>5794</v>
      </c>
      <c r="J6" s="38">
        <v>6948</v>
      </c>
      <c r="K6" s="38">
        <v>6290</v>
      </c>
      <c r="L6" s="38">
        <v>8415</v>
      </c>
      <c r="M6" s="38">
        <v>2007</v>
      </c>
      <c r="N6" s="38">
        <v>6889</v>
      </c>
      <c r="O6" s="38">
        <v>7254</v>
      </c>
      <c r="P6" s="38">
        <v>8073</v>
      </c>
      <c r="Q6" s="38">
        <v>6743</v>
      </c>
      <c r="R6" s="38">
        <v>3447</v>
      </c>
      <c r="S6" s="38">
        <v>5526</v>
      </c>
      <c r="T6" s="38">
        <v>4482</v>
      </c>
      <c r="U6" s="38">
        <v>4837</v>
      </c>
      <c r="V6" s="38">
        <v>3858</v>
      </c>
      <c r="W6" s="38">
        <v>4172</v>
      </c>
      <c r="X6" s="68">
        <v>1816</v>
      </c>
    </row>
    <row r="7" spans="1:25" x14ac:dyDescent="0.25">
      <c r="A7" s="40" t="s">
        <v>9</v>
      </c>
      <c r="B7" s="47">
        <f t="shared" si="0"/>
        <v>1.276043881282422</v>
      </c>
      <c r="C7" s="79">
        <v>-6293</v>
      </c>
      <c r="D7" s="38">
        <v>-3969</v>
      </c>
      <c r="E7" s="43">
        <v>26764</v>
      </c>
      <c r="F7" s="38">
        <v>11759</v>
      </c>
      <c r="G7" s="38">
        <v>20167</v>
      </c>
      <c r="H7" s="38">
        <v>20526</v>
      </c>
      <c r="I7" s="38">
        <v>22725</v>
      </c>
      <c r="J7" s="38">
        <v>21622</v>
      </c>
      <c r="K7" s="38">
        <v>13660</v>
      </c>
      <c r="L7" s="38">
        <v>17328</v>
      </c>
      <c r="M7" s="38">
        <v>9492</v>
      </c>
      <c r="N7" s="38">
        <v>13815</v>
      </c>
      <c r="O7" s="38">
        <v>16293</v>
      </c>
      <c r="P7" s="38">
        <v>9961</v>
      </c>
      <c r="Q7" s="38">
        <v>12186</v>
      </c>
      <c r="R7" s="38">
        <v>11939</v>
      </c>
      <c r="S7" s="38">
        <v>10246</v>
      </c>
      <c r="T7" s="38">
        <v>7118</v>
      </c>
      <c r="U7" s="38">
        <v>8179</v>
      </c>
      <c r="V7" s="38">
        <v>10333</v>
      </c>
      <c r="W7" s="38">
        <v>7983</v>
      </c>
      <c r="X7" s="68">
        <v>6419</v>
      </c>
    </row>
    <row r="8" spans="1:25" x14ac:dyDescent="0.25">
      <c r="A8" s="40" t="s">
        <v>14</v>
      </c>
      <c r="B8" s="47" t="str">
        <f t="shared" si="0"/>
        <v/>
      </c>
      <c r="C8" s="79">
        <v>0</v>
      </c>
      <c r="D8" s="38">
        <v>0</v>
      </c>
      <c r="E8" s="43">
        <v>0</v>
      </c>
      <c r="F8" s="38">
        <v>0</v>
      </c>
      <c r="G8" s="38">
        <v>0</v>
      </c>
      <c r="H8" s="38">
        <v>0</v>
      </c>
      <c r="I8" s="38">
        <v>0</v>
      </c>
      <c r="J8" s="38">
        <v>140</v>
      </c>
      <c r="K8" s="38">
        <v>0</v>
      </c>
      <c r="L8" s="38">
        <v>576</v>
      </c>
      <c r="M8" s="38">
        <v>0</v>
      </c>
      <c r="N8" s="38">
        <v>682</v>
      </c>
      <c r="O8" s="38">
        <v>1077</v>
      </c>
      <c r="P8" s="38">
        <v>2583</v>
      </c>
      <c r="Q8" s="38">
        <v>2205</v>
      </c>
      <c r="R8" s="38">
        <v>4671</v>
      </c>
      <c r="S8" s="38">
        <v>5192</v>
      </c>
      <c r="T8" s="38">
        <v>5131</v>
      </c>
      <c r="U8" s="38">
        <v>7616</v>
      </c>
      <c r="V8" s="38">
        <v>10731</v>
      </c>
      <c r="W8" s="38">
        <v>5360</v>
      </c>
      <c r="X8" s="68">
        <v>8869</v>
      </c>
    </row>
    <row r="9" spans="1:25" x14ac:dyDescent="0.25">
      <c r="A9" s="40" t="s">
        <v>3</v>
      </c>
      <c r="B9" s="47">
        <f t="shared" si="0"/>
        <v>8.9373680506685427E-2</v>
      </c>
      <c r="C9" s="79">
        <v>-394</v>
      </c>
      <c r="D9" s="38">
        <v>-41</v>
      </c>
      <c r="E9" s="43">
        <v>1548</v>
      </c>
      <c r="F9" s="38">
        <v>1421</v>
      </c>
      <c r="G9" s="38">
        <v>2616</v>
      </c>
      <c r="H9" s="38">
        <v>2185</v>
      </c>
      <c r="I9" s="38">
        <v>2344</v>
      </c>
      <c r="J9" s="38">
        <v>3672</v>
      </c>
      <c r="K9" s="38">
        <v>3042</v>
      </c>
      <c r="L9" s="38">
        <v>3106</v>
      </c>
      <c r="M9" s="38">
        <v>2557</v>
      </c>
      <c r="N9" s="38">
        <v>7654</v>
      </c>
      <c r="O9" s="38">
        <v>8038</v>
      </c>
      <c r="P9" s="38">
        <v>7793</v>
      </c>
      <c r="Q9" s="38">
        <v>10687</v>
      </c>
      <c r="R9" s="38">
        <v>12867</v>
      </c>
      <c r="S9" s="38">
        <v>15978</v>
      </c>
      <c r="T9" s="38">
        <v>11099</v>
      </c>
      <c r="U9" s="38">
        <v>16313</v>
      </c>
      <c r="V9" s="38">
        <v>19398</v>
      </c>
      <c r="W9" s="38">
        <v>15187</v>
      </c>
      <c r="X9" s="68">
        <v>14200</v>
      </c>
    </row>
    <row r="10" spans="1:25" x14ac:dyDescent="0.25">
      <c r="A10" s="40" t="s">
        <v>15</v>
      </c>
      <c r="B10" s="47">
        <f t="shared" si="0"/>
        <v>8.907692307692308</v>
      </c>
      <c r="C10" s="79">
        <v>-566</v>
      </c>
      <c r="D10" s="38">
        <v>-166</v>
      </c>
      <c r="E10" s="43">
        <v>644</v>
      </c>
      <c r="F10" s="38">
        <v>65</v>
      </c>
      <c r="G10" s="38">
        <v>23</v>
      </c>
      <c r="H10" s="38">
        <v>831</v>
      </c>
      <c r="I10" s="38">
        <v>565</v>
      </c>
      <c r="J10" s="38">
        <v>768</v>
      </c>
      <c r="K10" s="38">
        <v>52</v>
      </c>
      <c r="L10" s="38">
        <v>957</v>
      </c>
      <c r="M10" s="38">
        <v>190</v>
      </c>
      <c r="N10" s="38">
        <v>950</v>
      </c>
      <c r="O10" s="38">
        <v>1343</v>
      </c>
      <c r="P10" s="38">
        <v>1280</v>
      </c>
      <c r="Q10" s="38">
        <v>430</v>
      </c>
      <c r="R10" s="38">
        <v>82</v>
      </c>
      <c r="S10" s="38">
        <v>2060</v>
      </c>
      <c r="T10" s="38">
        <v>248</v>
      </c>
      <c r="U10" s="38">
        <v>2710</v>
      </c>
      <c r="V10" s="38">
        <v>3327</v>
      </c>
      <c r="W10" s="38">
        <v>1334</v>
      </c>
      <c r="X10" s="68">
        <v>3509</v>
      </c>
    </row>
    <row r="11" spans="1:25" x14ac:dyDescent="0.25">
      <c r="A11" s="40" t="s">
        <v>10</v>
      </c>
      <c r="B11" s="47">
        <f t="shared" si="0"/>
        <v>0.71601208459214505</v>
      </c>
      <c r="C11" s="79">
        <v>-145</v>
      </c>
      <c r="D11" s="38">
        <v>-109</v>
      </c>
      <c r="E11" s="43">
        <v>1704</v>
      </c>
      <c r="F11" s="38">
        <v>993</v>
      </c>
      <c r="G11" s="38">
        <v>1535</v>
      </c>
      <c r="H11" s="38">
        <v>3095</v>
      </c>
      <c r="I11" s="38">
        <v>5309</v>
      </c>
      <c r="J11" s="38">
        <v>5849</v>
      </c>
      <c r="K11" s="38">
        <v>3893</v>
      </c>
      <c r="L11" s="38">
        <v>8652</v>
      </c>
      <c r="M11" s="38">
        <v>8060</v>
      </c>
      <c r="N11" s="38">
        <v>10797</v>
      </c>
      <c r="O11" s="38">
        <v>16189</v>
      </c>
      <c r="P11" s="38">
        <v>10706</v>
      </c>
      <c r="Q11" s="38">
        <v>21526</v>
      </c>
      <c r="R11" s="38">
        <v>22512</v>
      </c>
      <c r="S11" s="38">
        <v>22534</v>
      </c>
      <c r="T11" s="38">
        <v>20098</v>
      </c>
      <c r="U11" s="38">
        <v>25324</v>
      </c>
      <c r="V11" s="38">
        <v>24069</v>
      </c>
      <c r="W11" s="38">
        <v>15637</v>
      </c>
      <c r="X11" s="68">
        <v>22883</v>
      </c>
      <c r="Y11" s="1"/>
    </row>
    <row r="12" spans="1:25" x14ac:dyDescent="0.25">
      <c r="A12" s="40" t="s">
        <v>98</v>
      </c>
      <c r="B12" s="47" t="str">
        <f t="shared" si="0"/>
        <v/>
      </c>
      <c r="C12" s="79">
        <v>0</v>
      </c>
      <c r="D12" s="38">
        <v>0</v>
      </c>
      <c r="E12" s="43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188</v>
      </c>
      <c r="M12" s="38">
        <v>0</v>
      </c>
      <c r="N12" s="38">
        <v>0</v>
      </c>
      <c r="O12" s="38">
        <v>23</v>
      </c>
      <c r="P12" s="38">
        <v>0</v>
      </c>
      <c r="Q12" s="38">
        <v>9</v>
      </c>
      <c r="R12" s="38">
        <v>9</v>
      </c>
      <c r="S12" s="38">
        <v>14</v>
      </c>
      <c r="T12" s="38"/>
      <c r="U12" s="38">
        <v>56</v>
      </c>
      <c r="V12" s="38">
        <v>461</v>
      </c>
      <c r="W12" s="38">
        <v>321</v>
      </c>
      <c r="X12" s="68">
        <v>75</v>
      </c>
      <c r="Y12" s="1"/>
    </row>
    <row r="13" spans="1:25" x14ac:dyDescent="0.25">
      <c r="A13" s="40" t="s">
        <v>26</v>
      </c>
      <c r="B13" s="47">
        <f t="shared" si="0"/>
        <v>0.35825948421786319</v>
      </c>
      <c r="C13" s="79">
        <v>-952</v>
      </c>
      <c r="D13" s="38">
        <v>-670</v>
      </c>
      <c r="E13" s="43">
        <v>13641</v>
      </c>
      <c r="F13" s="38">
        <v>10043</v>
      </c>
      <c r="G13" s="38">
        <v>8286</v>
      </c>
      <c r="H13" s="38">
        <v>16015</v>
      </c>
      <c r="I13" s="38">
        <v>16279</v>
      </c>
      <c r="J13" s="38">
        <v>9969</v>
      </c>
      <c r="K13" s="38">
        <v>12572</v>
      </c>
      <c r="L13" s="38">
        <v>27731</v>
      </c>
      <c r="M13" s="38">
        <v>10494</v>
      </c>
      <c r="N13" s="38">
        <v>29312</v>
      </c>
      <c r="O13" s="38">
        <v>24623</v>
      </c>
      <c r="P13" s="38">
        <v>33330</v>
      </c>
      <c r="Q13" s="38">
        <v>27492</v>
      </c>
      <c r="R13" s="38">
        <v>35695</v>
      </c>
      <c r="S13" s="38">
        <v>44879</v>
      </c>
      <c r="T13" s="38">
        <v>33349</v>
      </c>
      <c r="U13" s="38">
        <v>49660</v>
      </c>
      <c r="V13" s="38">
        <v>46421</v>
      </c>
      <c r="W13" s="38">
        <v>45251</v>
      </c>
      <c r="X13" s="68">
        <v>44100</v>
      </c>
      <c r="Y13" s="1"/>
    </row>
    <row r="14" spans="1:25" x14ac:dyDescent="0.25">
      <c r="A14" s="40" t="s">
        <v>25</v>
      </c>
      <c r="B14" s="47">
        <f t="shared" si="0"/>
        <v>0.29530615846126701</v>
      </c>
      <c r="C14" s="79">
        <v>-1479</v>
      </c>
      <c r="D14" s="38">
        <v>-1341</v>
      </c>
      <c r="E14" s="43">
        <v>14681</v>
      </c>
      <c r="F14" s="38">
        <v>11334</v>
      </c>
      <c r="G14" s="38">
        <v>13529</v>
      </c>
      <c r="H14" s="38">
        <v>17152</v>
      </c>
      <c r="I14" s="38">
        <v>24892</v>
      </c>
      <c r="J14" s="38">
        <v>26682</v>
      </c>
      <c r="K14" s="38">
        <v>26511</v>
      </c>
      <c r="L14" s="38">
        <v>47777</v>
      </c>
      <c r="M14" s="38">
        <v>21320</v>
      </c>
      <c r="N14" s="38">
        <v>53330</v>
      </c>
      <c r="O14" s="38">
        <v>50740</v>
      </c>
      <c r="P14" s="38">
        <v>62354</v>
      </c>
      <c r="Q14" s="38">
        <v>42253</v>
      </c>
      <c r="R14" s="38">
        <v>60746</v>
      </c>
      <c r="S14" s="38">
        <v>67177</v>
      </c>
      <c r="T14" s="38">
        <v>52148</v>
      </c>
      <c r="U14" s="38">
        <v>72666</v>
      </c>
      <c r="V14" s="38">
        <v>56879</v>
      </c>
      <c r="W14" s="38">
        <v>48864</v>
      </c>
      <c r="X14" s="68">
        <v>54388</v>
      </c>
    </row>
    <row r="15" spans="1:25" x14ac:dyDescent="0.25">
      <c r="A15" s="40" t="s">
        <v>13</v>
      </c>
      <c r="B15" s="47">
        <f t="shared" si="0"/>
        <v>0.5711859609397113</v>
      </c>
      <c r="C15" s="79">
        <v>-779</v>
      </c>
      <c r="D15" s="38">
        <v>-1215</v>
      </c>
      <c r="E15" s="43">
        <v>5551</v>
      </c>
      <c r="F15" s="38">
        <v>3533</v>
      </c>
      <c r="G15" s="38">
        <v>4256</v>
      </c>
      <c r="H15" s="38">
        <v>6286</v>
      </c>
      <c r="I15" s="38">
        <v>6532</v>
      </c>
      <c r="J15" s="38">
        <v>7046</v>
      </c>
      <c r="K15" s="38">
        <v>6879</v>
      </c>
      <c r="L15" s="38">
        <v>7910</v>
      </c>
      <c r="M15" s="38">
        <v>6139</v>
      </c>
      <c r="N15" s="38">
        <v>10605</v>
      </c>
      <c r="O15" s="38">
        <v>11682</v>
      </c>
      <c r="P15" s="38">
        <v>12547</v>
      </c>
      <c r="Q15" s="38">
        <v>9949</v>
      </c>
      <c r="R15" s="38">
        <v>11312</v>
      </c>
      <c r="S15" s="38">
        <v>9997</v>
      </c>
      <c r="T15" s="38">
        <v>8197</v>
      </c>
      <c r="U15" s="38">
        <v>9971</v>
      </c>
      <c r="V15" s="38">
        <v>7208</v>
      </c>
      <c r="W15" s="38">
        <v>6346</v>
      </c>
      <c r="X15" s="68">
        <v>6809</v>
      </c>
    </row>
    <row r="16" spans="1:25" x14ac:dyDescent="0.25">
      <c r="A16" s="40" t="s">
        <v>132</v>
      </c>
      <c r="B16" s="47">
        <f t="shared" si="0"/>
        <v>0.44872504875875852</v>
      </c>
      <c r="C16" s="79">
        <v>-3681</v>
      </c>
      <c r="D16" s="38">
        <v>-2899</v>
      </c>
      <c r="E16" s="43">
        <v>60167</v>
      </c>
      <c r="F16" s="38">
        <v>41531</v>
      </c>
      <c r="G16" s="38">
        <v>46904</v>
      </c>
      <c r="H16" s="38">
        <v>50968</v>
      </c>
      <c r="I16" s="38">
        <v>62572</v>
      </c>
      <c r="J16" s="38">
        <v>49876</v>
      </c>
      <c r="K16" s="38">
        <v>48611</v>
      </c>
      <c r="L16" s="38">
        <v>61728</v>
      </c>
      <c r="M16" s="38">
        <v>37502</v>
      </c>
      <c r="N16" s="38">
        <v>54604</v>
      </c>
      <c r="O16" s="38">
        <v>32788</v>
      </c>
      <c r="P16" s="38">
        <v>34960</v>
      </c>
      <c r="Q16" s="38">
        <v>15690</v>
      </c>
      <c r="R16" s="38">
        <v>24379</v>
      </c>
      <c r="S16" s="38">
        <v>18108</v>
      </c>
      <c r="T16" s="38">
        <v>13550</v>
      </c>
      <c r="U16" s="38">
        <v>17567</v>
      </c>
      <c r="V16" s="38">
        <v>11781</v>
      </c>
      <c r="W16" s="38">
        <v>10311</v>
      </c>
      <c r="X16" s="68">
        <v>4757</v>
      </c>
    </row>
    <row r="17" spans="1:24" x14ac:dyDescent="0.25">
      <c r="A17" s="40" t="s">
        <v>87</v>
      </c>
      <c r="B17" s="47">
        <f t="shared" si="0"/>
        <v>231.66666666666666</v>
      </c>
      <c r="C17" s="79">
        <v>-94</v>
      </c>
      <c r="D17" s="38">
        <v>-3</v>
      </c>
      <c r="E17" s="43">
        <v>698</v>
      </c>
      <c r="F17" s="38">
        <v>3</v>
      </c>
      <c r="G17" s="38">
        <v>313</v>
      </c>
      <c r="H17" s="38">
        <v>389</v>
      </c>
      <c r="I17" s="38">
        <v>1224</v>
      </c>
      <c r="J17" s="38">
        <v>417</v>
      </c>
      <c r="K17" s="38">
        <v>47</v>
      </c>
      <c r="L17" s="38">
        <v>808</v>
      </c>
      <c r="M17" s="38">
        <v>486</v>
      </c>
      <c r="N17" s="38">
        <v>2319</v>
      </c>
      <c r="O17" s="38">
        <v>2003</v>
      </c>
      <c r="P17" s="38">
        <v>1557</v>
      </c>
      <c r="Q17" s="38">
        <v>69</v>
      </c>
      <c r="R17" s="38">
        <v>2469</v>
      </c>
      <c r="S17" s="38">
        <v>2195</v>
      </c>
      <c r="T17" s="38">
        <v>1034</v>
      </c>
      <c r="U17" s="38">
        <v>1735</v>
      </c>
      <c r="V17" s="38">
        <v>1407</v>
      </c>
      <c r="W17" s="38">
        <v>878</v>
      </c>
      <c r="X17" s="68">
        <v>1035</v>
      </c>
    </row>
    <row r="18" spans="1:24" x14ac:dyDescent="0.25">
      <c r="A18" s="40" t="s">
        <v>95</v>
      </c>
      <c r="B18" s="47">
        <f t="shared" si="0"/>
        <v>0.33925399644760212</v>
      </c>
      <c r="C18" s="79">
        <v>-850</v>
      </c>
      <c r="D18" s="38">
        <v>-395</v>
      </c>
      <c r="E18" s="43">
        <v>1508</v>
      </c>
      <c r="F18" s="38">
        <v>1126</v>
      </c>
      <c r="G18" s="38">
        <v>1098</v>
      </c>
      <c r="H18" s="38">
        <v>2523</v>
      </c>
      <c r="I18" s="38">
        <v>1355</v>
      </c>
      <c r="J18" s="38">
        <v>1427</v>
      </c>
      <c r="K18" s="38">
        <v>1152</v>
      </c>
      <c r="L18" s="38">
        <v>2233</v>
      </c>
      <c r="M18" s="38">
        <v>234</v>
      </c>
      <c r="N18" s="38">
        <v>932</v>
      </c>
      <c r="O18" s="38">
        <v>1599</v>
      </c>
      <c r="P18" s="38">
        <v>1370</v>
      </c>
      <c r="Q18" s="38">
        <v>1549</v>
      </c>
      <c r="R18" s="38">
        <v>1542</v>
      </c>
      <c r="S18" s="38">
        <v>2035</v>
      </c>
      <c r="T18" s="38">
        <v>1718</v>
      </c>
      <c r="U18" s="38">
        <v>1503</v>
      </c>
      <c r="V18" s="38">
        <v>1419</v>
      </c>
      <c r="W18" s="38">
        <v>1477</v>
      </c>
      <c r="X18" s="68">
        <v>964</v>
      </c>
    </row>
    <row r="19" spans="1:24" x14ac:dyDescent="0.25">
      <c r="A19" s="40" t="s">
        <v>141</v>
      </c>
      <c r="B19" s="47">
        <f t="shared" si="0"/>
        <v>1.0059252954463613</v>
      </c>
      <c r="C19" s="79">
        <v>-8528</v>
      </c>
      <c r="D19" s="38">
        <v>-6095</v>
      </c>
      <c r="E19" s="43">
        <v>61275</v>
      </c>
      <c r="F19" s="38">
        <v>30547</v>
      </c>
      <c r="G19" s="38">
        <v>33101</v>
      </c>
      <c r="H19" s="38">
        <v>40888</v>
      </c>
      <c r="I19" s="38">
        <v>31345</v>
      </c>
      <c r="J19" s="38">
        <v>35816</v>
      </c>
      <c r="K19" s="38">
        <v>6645</v>
      </c>
      <c r="L19" s="38">
        <v>34920</v>
      </c>
      <c r="M19" s="38">
        <v>14236</v>
      </c>
      <c r="N19" s="38">
        <v>23665</v>
      </c>
      <c r="O19" s="38">
        <v>21155</v>
      </c>
      <c r="P19" s="38">
        <v>22363</v>
      </c>
      <c r="Q19" s="38">
        <v>13458</v>
      </c>
      <c r="R19" s="38">
        <v>13117</v>
      </c>
      <c r="S19" s="38">
        <v>10635</v>
      </c>
      <c r="T19" s="38">
        <v>6009</v>
      </c>
      <c r="U19" s="38">
        <v>6528</v>
      </c>
      <c r="V19" s="38">
        <v>2017</v>
      </c>
      <c r="W19" s="38">
        <v>2643</v>
      </c>
      <c r="X19" s="68">
        <v>1091</v>
      </c>
    </row>
    <row r="20" spans="1:24" ht="13.8" thickBot="1" x14ac:dyDescent="0.3">
      <c r="A20" s="41" t="s">
        <v>6</v>
      </c>
      <c r="B20" s="48">
        <f t="shared" si="0"/>
        <v>0.70372976776917662</v>
      </c>
      <c r="C20" s="79">
        <v>-2874</v>
      </c>
      <c r="D20" s="38">
        <v>-3010</v>
      </c>
      <c r="E20" s="43">
        <v>14526</v>
      </c>
      <c r="F20" s="38">
        <v>8526</v>
      </c>
      <c r="G20" s="38">
        <v>10270</v>
      </c>
      <c r="H20" s="38">
        <v>10920</v>
      </c>
      <c r="I20" s="38">
        <v>4440</v>
      </c>
      <c r="J20" s="38">
        <v>2811</v>
      </c>
      <c r="K20" s="38">
        <v>3863</v>
      </c>
      <c r="L20" s="38">
        <v>4536</v>
      </c>
      <c r="M20" s="38">
        <v>1485</v>
      </c>
      <c r="N20" s="37">
        <v>4248</v>
      </c>
      <c r="O20" s="37">
        <v>3485</v>
      </c>
      <c r="P20" s="37">
        <v>5492</v>
      </c>
      <c r="Q20" s="37">
        <v>5082</v>
      </c>
      <c r="R20" s="37">
        <v>5870</v>
      </c>
      <c r="S20" s="37">
        <v>5515</v>
      </c>
      <c r="T20" s="37">
        <v>5189</v>
      </c>
      <c r="U20" s="37">
        <v>4933</v>
      </c>
      <c r="V20" s="37">
        <v>4987</v>
      </c>
      <c r="W20" s="37">
        <v>4333</v>
      </c>
      <c r="X20" s="69">
        <v>3521</v>
      </c>
    </row>
    <row r="21" spans="1:24" ht="13.8" thickBot="1" x14ac:dyDescent="0.3">
      <c r="A21" s="42" t="s">
        <v>90</v>
      </c>
      <c r="B21" s="82">
        <f t="shared" si="0"/>
        <v>0.60984689188978713</v>
      </c>
      <c r="C21" s="74">
        <v>-47309</v>
      </c>
      <c r="D21" s="46">
        <v>-40762</v>
      </c>
      <c r="E21" s="45">
        <f t="shared" ref="E21" si="1">SUM(E2:E20)</f>
        <v>310071</v>
      </c>
      <c r="F21" s="46">
        <f t="shared" ref="F21:L21" si="2">SUM(F2:F20)</f>
        <v>192609</v>
      </c>
      <c r="G21" s="46">
        <f t="shared" si="2"/>
        <v>212805</v>
      </c>
      <c r="H21" s="46">
        <f t="shared" si="2"/>
        <v>282178</v>
      </c>
      <c r="I21" s="46">
        <f t="shared" si="2"/>
        <v>267156</v>
      </c>
      <c r="J21" s="46">
        <f t="shared" si="2"/>
        <v>246317</v>
      </c>
      <c r="K21" s="89">
        <f t="shared" si="2"/>
        <v>208602</v>
      </c>
      <c r="L21" s="46">
        <f t="shared" si="2"/>
        <v>307169</v>
      </c>
      <c r="M21" s="46">
        <f t="shared" ref="M21:R21" si="3">SUM(M2:M20)</f>
        <v>150237</v>
      </c>
      <c r="N21" s="46">
        <f t="shared" si="3"/>
        <v>292737</v>
      </c>
      <c r="O21" s="46">
        <f t="shared" si="3"/>
        <v>281846</v>
      </c>
      <c r="P21" s="46">
        <f t="shared" si="3"/>
        <v>300526</v>
      </c>
      <c r="Q21" s="46">
        <f t="shared" si="3"/>
        <v>227420</v>
      </c>
      <c r="R21" s="46">
        <f t="shared" si="3"/>
        <v>271321</v>
      </c>
      <c r="S21" s="46">
        <f t="shared" ref="S21:X21" si="4">SUM(S2:S20)</f>
        <v>287934</v>
      </c>
      <c r="T21" s="46">
        <f t="shared" si="4"/>
        <v>223253</v>
      </c>
      <c r="U21" s="46">
        <f t="shared" si="4"/>
        <v>299997</v>
      </c>
      <c r="V21" s="46">
        <f t="shared" si="4"/>
        <v>258603</v>
      </c>
      <c r="W21" s="46">
        <f t="shared" si="4"/>
        <v>230179</v>
      </c>
      <c r="X21" s="35">
        <f t="shared" si="4"/>
        <v>231906</v>
      </c>
    </row>
    <row r="23" spans="1:24" ht="13.8" thickBot="1" x14ac:dyDescent="0.3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s="53" customFormat="1" ht="13.8" thickBot="1" x14ac:dyDescent="0.3">
      <c r="A24" s="54" t="s">
        <v>24</v>
      </c>
      <c r="B24" s="24" t="s">
        <v>172</v>
      </c>
      <c r="C24" s="49" t="s">
        <v>179</v>
      </c>
      <c r="D24" s="83" t="s">
        <v>173</v>
      </c>
      <c r="E24" s="159">
        <v>46054</v>
      </c>
      <c r="F24" s="86">
        <v>45689</v>
      </c>
      <c r="G24" s="86">
        <v>45323</v>
      </c>
      <c r="H24" s="86">
        <v>44958</v>
      </c>
      <c r="I24" s="86">
        <v>44593</v>
      </c>
      <c r="J24" s="86">
        <v>44228</v>
      </c>
      <c r="K24" s="86">
        <v>43862</v>
      </c>
      <c r="L24" s="86">
        <v>43497</v>
      </c>
      <c r="M24" s="86">
        <v>43132</v>
      </c>
      <c r="N24" s="25">
        <v>42767</v>
      </c>
      <c r="O24" s="25">
        <v>42401</v>
      </c>
      <c r="P24" s="25">
        <v>42036</v>
      </c>
      <c r="Q24" s="25">
        <v>41671</v>
      </c>
      <c r="R24" s="25">
        <v>41306</v>
      </c>
      <c r="S24" s="25">
        <v>40940</v>
      </c>
      <c r="T24" s="25">
        <v>40575</v>
      </c>
      <c r="U24" s="25">
        <v>40210</v>
      </c>
      <c r="V24" s="25">
        <v>39845</v>
      </c>
      <c r="W24" s="25">
        <v>39479</v>
      </c>
      <c r="X24" s="26">
        <v>39114</v>
      </c>
    </row>
    <row r="25" spans="1:24" s="53" customFormat="1" ht="13.8" thickBot="1" x14ac:dyDescent="0.3">
      <c r="A25" s="60" t="s">
        <v>6</v>
      </c>
      <c r="B25" s="96">
        <f t="shared" ref="B25:B26" si="5">IFERROR(((E25-F25)/F25),"")</f>
        <v>0.13695583095011121</v>
      </c>
      <c r="C25" s="78">
        <v>-980</v>
      </c>
      <c r="D25" s="63">
        <v>-1311</v>
      </c>
      <c r="E25" s="62">
        <v>3578</v>
      </c>
      <c r="F25" s="63">
        <v>3147</v>
      </c>
      <c r="G25" s="63">
        <v>3111</v>
      </c>
      <c r="H25" s="63">
        <v>1475</v>
      </c>
      <c r="I25" s="63">
        <v>1304</v>
      </c>
      <c r="J25" s="63">
        <v>2355</v>
      </c>
      <c r="K25" s="63">
        <v>2405</v>
      </c>
      <c r="L25" s="63">
        <v>2028</v>
      </c>
      <c r="M25" s="63">
        <v>1624</v>
      </c>
      <c r="N25" s="63">
        <v>662</v>
      </c>
      <c r="O25" s="63">
        <v>1490</v>
      </c>
      <c r="P25" s="63">
        <v>1553</v>
      </c>
      <c r="Q25" s="63">
        <v>1733</v>
      </c>
      <c r="R25" s="63">
        <v>195</v>
      </c>
      <c r="S25" s="63">
        <v>1246</v>
      </c>
      <c r="T25" s="63">
        <v>780</v>
      </c>
      <c r="U25" s="63">
        <v>1108</v>
      </c>
      <c r="V25" s="63">
        <v>316</v>
      </c>
      <c r="W25" s="63">
        <v>554</v>
      </c>
      <c r="X25" s="72">
        <v>298</v>
      </c>
    </row>
    <row r="26" spans="1:24" s="53" customFormat="1" ht="13.8" thickBot="1" x14ac:dyDescent="0.3">
      <c r="A26" s="64" t="s">
        <v>90</v>
      </c>
      <c r="B26" s="65">
        <f t="shared" si="5"/>
        <v>0.13695583095011121</v>
      </c>
      <c r="C26" s="91">
        <v>-980</v>
      </c>
      <c r="D26" s="89">
        <v>-1311</v>
      </c>
      <c r="E26" s="66">
        <f>SUM(E25)</f>
        <v>3578</v>
      </c>
      <c r="F26" s="89">
        <f>SUM(F25)</f>
        <v>3147</v>
      </c>
      <c r="G26" s="89">
        <f>SUM(G25)</f>
        <v>3111</v>
      </c>
      <c r="H26" s="89">
        <v>1475</v>
      </c>
      <c r="I26" s="89">
        <v>1304</v>
      </c>
      <c r="J26" s="89">
        <v>2355</v>
      </c>
      <c r="K26" s="89">
        <v>2405</v>
      </c>
      <c r="L26" s="89">
        <v>2028</v>
      </c>
      <c r="M26" s="89">
        <v>1624</v>
      </c>
      <c r="N26" s="89">
        <f>SUM(N25)</f>
        <v>662</v>
      </c>
      <c r="O26" s="89">
        <f>SUM(O25)</f>
        <v>1490</v>
      </c>
      <c r="P26" s="89">
        <f>SUM(P25)</f>
        <v>1553</v>
      </c>
      <c r="Q26" s="89">
        <f>SUM(Q25)</f>
        <v>1733</v>
      </c>
      <c r="R26" s="89">
        <f>SUM(R25)</f>
        <v>195</v>
      </c>
      <c r="S26" s="89">
        <f t="shared" ref="S26:X26" si="6">SUM(S25)</f>
        <v>1246</v>
      </c>
      <c r="T26" s="89">
        <f t="shared" si="6"/>
        <v>780</v>
      </c>
      <c r="U26" s="89">
        <f t="shared" si="6"/>
        <v>1108</v>
      </c>
      <c r="V26" s="89">
        <f t="shared" si="6"/>
        <v>316</v>
      </c>
      <c r="W26" s="67">
        <f t="shared" si="6"/>
        <v>554</v>
      </c>
      <c r="X26" s="73">
        <f t="shared" si="6"/>
        <v>298</v>
      </c>
    </row>
    <row r="27" spans="1:24" s="53" customFormat="1" x14ac:dyDescent="0.25"/>
    <row r="28" spans="1:24" s="53" customFormat="1" x14ac:dyDescent="0.25"/>
    <row r="29" spans="1:24" s="53" customFormat="1" x14ac:dyDescent="0.25">
      <c r="A29"/>
      <c r="B29"/>
      <c r="C29"/>
      <c r="D29"/>
      <c r="E29"/>
    </row>
  </sheetData>
  <conditionalFormatting sqref="E1">
    <cfRule type="expression" dxfId="13" priority="3">
      <formula>ISBLANK(XFD1)=FALSE</formula>
    </cfRule>
  </conditionalFormatting>
  <conditionalFormatting sqref="E24">
    <cfRule type="expression" dxfId="12" priority="1">
      <formula>ISBLANK(XFD24)=FALSE</formula>
    </cfRule>
  </conditionalFormatting>
  <pageMargins left="0.75" right="0.75" top="1" bottom="1" header="0.5" footer="0.5"/>
  <pageSetup paperSize="9" scale="66" fitToHeight="3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47"/>
  <sheetViews>
    <sheetView zoomScaleNormal="100" workbookViewId="0"/>
  </sheetViews>
  <sheetFormatPr defaultColWidth="9.109375" defaultRowHeight="13.2" x14ac:dyDescent="0.25"/>
  <cols>
    <col min="1" max="1" width="19.6640625" customWidth="1"/>
    <col min="2" max="3" width="10.6640625" customWidth="1"/>
    <col min="4" max="4" width="11.33203125" bestFit="1" customWidth="1"/>
    <col min="5" max="5" width="11.33203125" customWidth="1"/>
    <col min="6" max="13" width="11.44140625" customWidth="1"/>
    <col min="14" max="24" width="10.109375" bestFit="1" customWidth="1"/>
  </cols>
  <sheetData>
    <row r="1" spans="1:24" ht="13.8" thickBot="1" x14ac:dyDescent="0.3">
      <c r="A1" s="39" t="s">
        <v>89</v>
      </c>
      <c r="B1" s="24" t="s">
        <v>172</v>
      </c>
      <c r="C1" s="49" t="s">
        <v>179</v>
      </c>
      <c r="D1" s="83" t="s">
        <v>173</v>
      </c>
      <c r="E1" s="159">
        <v>46054</v>
      </c>
      <c r="F1" s="86">
        <v>45689</v>
      </c>
      <c r="G1" s="86">
        <v>45323</v>
      </c>
      <c r="H1" s="86">
        <v>44958</v>
      </c>
      <c r="I1" s="86">
        <v>44593</v>
      </c>
      <c r="J1" s="86">
        <v>44228</v>
      </c>
      <c r="K1" s="86">
        <v>43862</v>
      </c>
      <c r="L1" s="86">
        <v>43497</v>
      </c>
      <c r="M1" s="86">
        <v>43132</v>
      </c>
      <c r="N1" s="25">
        <v>42767</v>
      </c>
      <c r="O1" s="25">
        <v>42401</v>
      </c>
      <c r="P1" s="25">
        <v>42036</v>
      </c>
      <c r="Q1" s="25">
        <v>41671</v>
      </c>
      <c r="R1" s="25">
        <v>41306</v>
      </c>
      <c r="S1" s="25">
        <v>40940</v>
      </c>
      <c r="T1" s="25">
        <v>40575</v>
      </c>
      <c r="U1" s="25">
        <v>40210</v>
      </c>
      <c r="V1" s="25">
        <v>39845</v>
      </c>
      <c r="W1" s="25">
        <v>39479</v>
      </c>
      <c r="X1" s="26">
        <v>39114</v>
      </c>
    </row>
    <row r="2" spans="1:24" x14ac:dyDescent="0.25">
      <c r="A2" s="20" t="s">
        <v>20</v>
      </c>
      <c r="B2" s="115">
        <f t="shared" ref="B2:B20" si="0">IFERROR(((E2-F2)/F2),"")</f>
        <v>0</v>
      </c>
      <c r="C2" s="50">
        <v>-9000</v>
      </c>
      <c r="D2" s="1">
        <v>-9000</v>
      </c>
      <c r="E2" s="114">
        <v>6000</v>
      </c>
      <c r="F2" s="1">
        <v>6000</v>
      </c>
      <c r="G2" s="1">
        <v>4500</v>
      </c>
      <c r="H2" s="1">
        <v>5000</v>
      </c>
      <c r="I2" s="1">
        <v>5000</v>
      </c>
      <c r="J2" s="1">
        <v>5000</v>
      </c>
      <c r="K2" s="1">
        <v>5000</v>
      </c>
      <c r="L2" s="1">
        <v>5000</v>
      </c>
      <c r="M2" s="1">
        <v>5000</v>
      </c>
      <c r="N2" s="1">
        <v>5000</v>
      </c>
      <c r="O2" s="1">
        <v>5000</v>
      </c>
      <c r="P2" s="1">
        <v>5812</v>
      </c>
      <c r="Q2" s="1"/>
      <c r="R2" s="1">
        <v>5015.6053348577543</v>
      </c>
      <c r="S2" s="1">
        <v>4012.106581635539</v>
      </c>
      <c r="T2" s="1">
        <v>5000</v>
      </c>
      <c r="U2" s="1">
        <v>5000</v>
      </c>
      <c r="V2" s="1">
        <v>7000</v>
      </c>
      <c r="W2" s="1">
        <v>7000</v>
      </c>
      <c r="X2" s="29">
        <v>17000</v>
      </c>
    </row>
    <row r="3" spans="1:24" x14ac:dyDescent="0.25">
      <c r="A3" s="20" t="s">
        <v>11</v>
      </c>
      <c r="B3" s="115">
        <f t="shared" si="0"/>
        <v>0.13721007977737348</v>
      </c>
      <c r="C3" s="50">
        <v>-1396</v>
      </c>
      <c r="D3" s="1">
        <v>-2482.0510000000031</v>
      </c>
      <c r="E3" s="114">
        <v>23710</v>
      </c>
      <c r="F3" s="1">
        <v>20849.27</v>
      </c>
      <c r="G3" s="1">
        <v>24226.460999999999</v>
      </c>
      <c r="H3" s="1">
        <v>23934</v>
      </c>
      <c r="I3" s="1">
        <v>30028</v>
      </c>
      <c r="J3" s="1">
        <v>30602.799999999999</v>
      </c>
      <c r="K3" s="1">
        <v>37613</v>
      </c>
      <c r="L3" s="1">
        <v>47573</v>
      </c>
      <c r="M3" s="1">
        <v>35607</v>
      </c>
      <c r="N3" s="1">
        <v>54702.6</v>
      </c>
      <c r="O3" s="1">
        <v>50428.6</v>
      </c>
      <c r="P3" s="1">
        <v>53004</v>
      </c>
      <c r="Q3" s="1">
        <v>54134</v>
      </c>
      <c r="R3" s="1">
        <v>44713.118439189908</v>
      </c>
      <c r="S3" s="1">
        <v>58237.733085730666</v>
      </c>
      <c r="T3" s="1">
        <v>52969</v>
      </c>
      <c r="U3" s="1">
        <v>56522</v>
      </c>
      <c r="V3" s="1">
        <v>50692</v>
      </c>
      <c r="W3" s="1">
        <v>50055</v>
      </c>
      <c r="X3" s="29">
        <v>41260</v>
      </c>
    </row>
    <row r="4" spans="1:24" x14ac:dyDescent="0.25">
      <c r="A4" s="20" t="s">
        <v>60</v>
      </c>
      <c r="B4" s="115">
        <f t="shared" si="0"/>
        <v>0.28006767626526469</v>
      </c>
      <c r="C4" s="50">
        <v>-17349</v>
      </c>
      <c r="D4" s="1">
        <v>-16866.948000000004</v>
      </c>
      <c r="E4" s="114">
        <v>119988</v>
      </c>
      <c r="F4" s="1">
        <v>93735.668999999994</v>
      </c>
      <c r="G4" s="1">
        <v>91532.799999999988</v>
      </c>
      <c r="H4" s="1">
        <v>80992</v>
      </c>
      <c r="I4" s="1">
        <v>58571</v>
      </c>
      <c r="J4" s="1">
        <v>67445.5</v>
      </c>
      <c r="K4" s="1">
        <v>53761</v>
      </c>
      <c r="L4" s="1">
        <v>66194</v>
      </c>
      <c r="M4" s="1">
        <v>57409</v>
      </c>
      <c r="N4" s="1">
        <v>68709.399999999994</v>
      </c>
      <c r="O4" s="1">
        <v>53993.599999999999</v>
      </c>
      <c r="P4" s="1">
        <v>68137</v>
      </c>
      <c r="Q4" s="1">
        <v>37888</v>
      </c>
      <c r="R4" s="1">
        <v>35520.516981462613</v>
      </c>
      <c r="S4" s="1">
        <v>55970.892867106588</v>
      </c>
      <c r="T4" s="1">
        <v>35437</v>
      </c>
      <c r="U4" s="1"/>
      <c r="V4" s="1"/>
      <c r="W4" s="1"/>
      <c r="X4" s="29"/>
    </row>
    <row r="5" spans="1:24" x14ac:dyDescent="0.25">
      <c r="A5" s="20" t="s">
        <v>2</v>
      </c>
      <c r="B5" s="115" t="str">
        <f t="shared" si="0"/>
        <v/>
      </c>
      <c r="C5" s="50">
        <v>0</v>
      </c>
      <c r="D5" s="1">
        <v>0</v>
      </c>
      <c r="E5" s="114"/>
      <c r="F5" s="1"/>
      <c r="G5" s="1"/>
      <c r="H5" s="1"/>
      <c r="I5" s="1"/>
      <c r="J5" s="1"/>
      <c r="K5" s="1"/>
      <c r="L5" s="1">
        <v>0</v>
      </c>
      <c r="M5" s="1">
        <v>0</v>
      </c>
      <c r="N5" s="1">
        <v>0</v>
      </c>
      <c r="O5" s="1">
        <v>2</v>
      </c>
      <c r="P5" s="1">
        <v>13</v>
      </c>
      <c r="Q5" s="1">
        <v>4</v>
      </c>
      <c r="R5" s="1">
        <v>0</v>
      </c>
      <c r="S5" s="1">
        <v>18.054479617359924</v>
      </c>
      <c r="T5" s="1"/>
      <c r="U5" s="1">
        <v>112</v>
      </c>
      <c r="V5" s="1">
        <v>15</v>
      </c>
      <c r="W5" s="1">
        <v>10</v>
      </c>
      <c r="X5" s="29">
        <v>34</v>
      </c>
    </row>
    <row r="6" spans="1:24" x14ac:dyDescent="0.25">
      <c r="A6" s="20" t="s">
        <v>12</v>
      </c>
      <c r="B6" s="115">
        <f t="shared" si="0"/>
        <v>0.20998499001009252</v>
      </c>
      <c r="C6" s="50">
        <v>-19298</v>
      </c>
      <c r="D6" s="1">
        <v>-18952.954035015748</v>
      </c>
      <c r="E6" s="114">
        <v>84541</v>
      </c>
      <c r="F6" s="1">
        <v>69869.461768525609</v>
      </c>
      <c r="G6" s="1">
        <v>68510.104500173751</v>
      </c>
      <c r="H6" s="1">
        <v>73768</v>
      </c>
      <c r="I6" s="1">
        <v>78332</v>
      </c>
      <c r="J6" s="1">
        <v>86752.6</v>
      </c>
      <c r="K6" s="1">
        <v>76863</v>
      </c>
      <c r="L6" s="1">
        <v>94617</v>
      </c>
      <c r="M6" s="1">
        <v>68547</v>
      </c>
      <c r="N6" s="1">
        <v>88451.32</v>
      </c>
      <c r="O6" s="1">
        <v>109114.04300000001</v>
      </c>
      <c r="P6" s="1">
        <v>103501</v>
      </c>
      <c r="Q6" s="1">
        <v>98327</v>
      </c>
      <c r="R6" s="1">
        <v>61046.938772687667</v>
      </c>
      <c r="S6" s="1">
        <v>87497.023358953244</v>
      </c>
      <c r="T6" s="1">
        <v>92031</v>
      </c>
      <c r="U6" s="1">
        <v>81913</v>
      </c>
      <c r="V6" s="1">
        <v>72757</v>
      </c>
      <c r="W6" s="1">
        <v>69394</v>
      </c>
      <c r="X6" s="29">
        <v>52857</v>
      </c>
    </row>
    <row r="7" spans="1:24" x14ac:dyDescent="0.25">
      <c r="A7" s="20" t="s">
        <v>9</v>
      </c>
      <c r="B7" s="115">
        <f t="shared" si="0"/>
        <v>3.544282792037684E-2</v>
      </c>
      <c r="C7" s="50">
        <v>-40622</v>
      </c>
      <c r="D7" s="1">
        <v>-35040.198929279388</v>
      </c>
      <c r="E7" s="114">
        <v>62197</v>
      </c>
      <c r="F7" s="1">
        <v>60068.019520613074</v>
      </c>
      <c r="G7" s="1">
        <v>65988.101605063974</v>
      </c>
      <c r="H7" s="1">
        <v>56828</v>
      </c>
      <c r="I7" s="1">
        <v>84810</v>
      </c>
      <c r="J7" s="1">
        <v>73169.929999999993</v>
      </c>
      <c r="K7" s="1">
        <v>83709</v>
      </c>
      <c r="L7" s="1">
        <v>75983</v>
      </c>
      <c r="M7" s="1">
        <v>37503</v>
      </c>
      <c r="N7" s="1">
        <v>52032.160000000003</v>
      </c>
      <c r="O7" s="1">
        <v>39624.402000000002</v>
      </c>
      <c r="P7" s="1">
        <v>51618</v>
      </c>
      <c r="Q7" s="1">
        <v>43895</v>
      </c>
      <c r="R7" s="1">
        <v>33998.782322866769</v>
      </c>
      <c r="S7" s="1">
        <v>53202.539325778067</v>
      </c>
      <c r="T7" s="1">
        <v>48953</v>
      </c>
      <c r="U7" s="1">
        <v>52344</v>
      </c>
      <c r="V7" s="1">
        <v>57990</v>
      </c>
      <c r="W7" s="1">
        <v>45180</v>
      </c>
      <c r="X7" s="29">
        <v>29020</v>
      </c>
    </row>
    <row r="8" spans="1:24" x14ac:dyDescent="0.25">
      <c r="A8" s="20" t="s">
        <v>14</v>
      </c>
      <c r="B8" s="115" t="str">
        <f t="shared" si="0"/>
        <v/>
      </c>
      <c r="C8" s="50">
        <v>0</v>
      </c>
      <c r="D8" s="1">
        <v>0</v>
      </c>
      <c r="E8" s="114"/>
      <c r="F8" s="1"/>
      <c r="G8" s="1"/>
      <c r="H8" s="1"/>
      <c r="I8" s="1"/>
      <c r="J8" s="1"/>
      <c r="K8" s="1"/>
      <c r="L8" s="1">
        <v>5</v>
      </c>
      <c r="M8" s="1">
        <v>12</v>
      </c>
      <c r="N8" s="1">
        <v>21</v>
      </c>
      <c r="O8" s="1">
        <v>11</v>
      </c>
      <c r="P8" s="1">
        <v>11</v>
      </c>
      <c r="Q8" s="1">
        <v>19</v>
      </c>
      <c r="R8" s="1">
        <v>13.04057387063016</v>
      </c>
      <c r="S8" s="1">
        <v>34.10290594390208</v>
      </c>
      <c r="T8" s="1"/>
      <c r="U8" s="1">
        <v>154</v>
      </c>
      <c r="V8" s="1">
        <v>314</v>
      </c>
      <c r="W8" s="1">
        <v>162</v>
      </c>
      <c r="X8" s="29">
        <v>433</v>
      </c>
    </row>
    <row r="9" spans="1:24" x14ac:dyDescent="0.25">
      <c r="A9" s="20" t="s">
        <v>3</v>
      </c>
      <c r="B9" s="115">
        <f t="shared" si="0"/>
        <v>-4.4870916412958303E-2</v>
      </c>
      <c r="C9" s="50">
        <v>-69816</v>
      </c>
      <c r="D9" s="1">
        <v>-54168.107297607581</v>
      </c>
      <c r="E9" s="114">
        <v>362908</v>
      </c>
      <c r="F9" s="1">
        <v>379957.0196701354</v>
      </c>
      <c r="G9" s="1">
        <v>419800.84614446282</v>
      </c>
      <c r="H9" s="1">
        <v>329947</v>
      </c>
      <c r="I9" s="1">
        <v>445705</v>
      </c>
      <c r="J9" s="1">
        <v>415009.14</v>
      </c>
      <c r="K9" s="1">
        <v>463282</v>
      </c>
      <c r="L9" s="1">
        <v>512630</v>
      </c>
      <c r="M9" s="1">
        <v>272475</v>
      </c>
      <c r="N9" s="84">
        <v>573123.92999999993</v>
      </c>
      <c r="O9" s="84">
        <v>566831.39399999997</v>
      </c>
      <c r="P9" s="84">
        <v>599731</v>
      </c>
      <c r="Q9" s="84">
        <v>513493</v>
      </c>
      <c r="R9" s="84">
        <v>503036.12457529054</v>
      </c>
      <c r="S9" s="84">
        <v>559895.49162711191</v>
      </c>
      <c r="T9" s="84">
        <v>543870</v>
      </c>
      <c r="U9" s="84">
        <v>561034</v>
      </c>
      <c r="V9" s="84">
        <v>582141</v>
      </c>
      <c r="W9" s="1">
        <v>510743</v>
      </c>
      <c r="X9" s="29">
        <v>508923</v>
      </c>
    </row>
    <row r="10" spans="1:24" x14ac:dyDescent="0.25">
      <c r="A10" s="20" t="s">
        <v>17</v>
      </c>
      <c r="B10" s="115">
        <f t="shared" si="0"/>
        <v>-0.19314115064191234</v>
      </c>
      <c r="C10" s="50">
        <v>-17275</v>
      </c>
      <c r="D10" s="1">
        <v>-20618.638428764476</v>
      </c>
      <c r="E10" s="114">
        <v>73547</v>
      </c>
      <c r="F10" s="1">
        <v>91152.250555982318</v>
      </c>
      <c r="G10" s="1">
        <v>53594.048332348175</v>
      </c>
      <c r="H10" s="1">
        <v>83156</v>
      </c>
      <c r="I10" s="1">
        <v>59774</v>
      </c>
      <c r="J10" s="1">
        <v>81247.87</v>
      </c>
      <c r="K10" s="1">
        <v>53748</v>
      </c>
      <c r="L10" s="1">
        <v>73681</v>
      </c>
      <c r="M10" s="1">
        <v>71145</v>
      </c>
      <c r="N10" s="84">
        <v>68910.934999999998</v>
      </c>
      <c r="O10" s="84">
        <v>80731.59</v>
      </c>
      <c r="P10" s="84">
        <v>86960</v>
      </c>
      <c r="Q10" s="84">
        <v>63404</v>
      </c>
      <c r="R10" s="84">
        <v>42090.95997012627</v>
      </c>
      <c r="S10" s="84">
        <v>54844.493944312409</v>
      </c>
      <c r="T10" s="84">
        <v>55937</v>
      </c>
      <c r="U10" s="84">
        <v>54663</v>
      </c>
      <c r="V10" s="84">
        <v>49601</v>
      </c>
      <c r="W10" s="1">
        <v>39973</v>
      </c>
      <c r="X10" s="29">
        <v>43007</v>
      </c>
    </row>
    <row r="11" spans="1:24" x14ac:dyDescent="0.25">
      <c r="A11" s="20" t="s">
        <v>10</v>
      </c>
      <c r="B11" s="115" t="str">
        <f t="shared" si="0"/>
        <v/>
      </c>
      <c r="C11" s="50">
        <v>0</v>
      </c>
      <c r="D11" s="1">
        <v>0</v>
      </c>
      <c r="E11" s="114"/>
      <c r="F11" s="1"/>
      <c r="G11" s="1"/>
      <c r="H11" s="1"/>
      <c r="I11" s="1"/>
      <c r="J11" s="1"/>
      <c r="K11" s="1"/>
      <c r="L11" s="1">
        <v>40</v>
      </c>
      <c r="M11" s="1">
        <v>801</v>
      </c>
      <c r="N11" s="84">
        <v>635</v>
      </c>
      <c r="O11" s="84">
        <v>1416</v>
      </c>
      <c r="P11" s="84">
        <v>649</v>
      </c>
      <c r="Q11" s="84">
        <v>2143</v>
      </c>
      <c r="R11" s="84">
        <v>2013.2639814119025</v>
      </c>
      <c r="S11" s="84">
        <v>2059.2137030244403</v>
      </c>
      <c r="T11" s="84"/>
      <c r="U11" s="84">
        <v>2981</v>
      </c>
      <c r="V11" s="84">
        <v>3402</v>
      </c>
      <c r="W11" s="1">
        <v>3463</v>
      </c>
      <c r="X11" s="29">
        <v>3898</v>
      </c>
    </row>
    <row r="12" spans="1:24" x14ac:dyDescent="0.25">
      <c r="A12" s="20" t="s">
        <v>26</v>
      </c>
      <c r="B12" s="115">
        <f t="shared" si="0"/>
        <v>0.17417677642980936</v>
      </c>
      <c r="C12" s="50">
        <v>-13</v>
      </c>
      <c r="D12" s="1">
        <v>-8.9000000000000909</v>
      </c>
      <c r="E12" s="114">
        <v>1355</v>
      </c>
      <c r="F12" s="1">
        <v>1154</v>
      </c>
      <c r="G12" s="1">
        <v>1367</v>
      </c>
      <c r="H12" s="1">
        <v>2005</v>
      </c>
      <c r="I12" s="1">
        <v>3485</v>
      </c>
      <c r="J12" s="1">
        <v>2017.6</v>
      </c>
      <c r="K12" s="1">
        <v>4180</v>
      </c>
      <c r="L12" s="1">
        <v>4596</v>
      </c>
      <c r="M12" s="1">
        <v>3233</v>
      </c>
      <c r="N12" s="84">
        <v>4378.2</v>
      </c>
      <c r="O12" s="84">
        <v>7886.5</v>
      </c>
      <c r="P12" s="84">
        <v>7752</v>
      </c>
      <c r="Q12" s="84">
        <v>10317</v>
      </c>
      <c r="R12" s="84">
        <v>7515.3830337508589</v>
      </c>
      <c r="S12" s="84">
        <v>11374.322158936753</v>
      </c>
      <c r="T12" s="84"/>
      <c r="U12" s="84">
        <v>16736</v>
      </c>
      <c r="V12" s="84">
        <v>16605</v>
      </c>
      <c r="W12" s="1">
        <v>19877</v>
      </c>
      <c r="X12" s="29">
        <v>17949</v>
      </c>
    </row>
    <row r="13" spans="1:24" x14ac:dyDescent="0.25">
      <c r="A13" s="20" t="s">
        <v>49</v>
      </c>
      <c r="B13" s="115" t="str">
        <f t="shared" si="0"/>
        <v/>
      </c>
      <c r="C13" s="50">
        <v>0</v>
      </c>
      <c r="D13" s="1">
        <v>0</v>
      </c>
      <c r="E13" s="114"/>
      <c r="F13" s="1"/>
      <c r="G13" s="1"/>
      <c r="H13" s="1"/>
      <c r="I13" s="1"/>
      <c r="J13" s="1"/>
      <c r="K13" s="1"/>
      <c r="L13" s="1">
        <v>0</v>
      </c>
      <c r="M13" s="1">
        <v>0</v>
      </c>
      <c r="N13" s="84">
        <v>0</v>
      </c>
      <c r="O13" s="84">
        <v>7</v>
      </c>
      <c r="P13" s="84">
        <v>6</v>
      </c>
      <c r="Q13" s="84">
        <v>0</v>
      </c>
      <c r="R13" s="84">
        <v>1.0031210669715509</v>
      </c>
      <c r="S13" s="84">
        <v>2.0060532908177695</v>
      </c>
      <c r="T13" s="84"/>
      <c r="U13" s="84">
        <v>6</v>
      </c>
      <c r="V13" s="84">
        <v>7</v>
      </c>
      <c r="W13" s="1">
        <v>19</v>
      </c>
      <c r="X13" s="29">
        <v>48</v>
      </c>
    </row>
    <row r="14" spans="1:24" x14ac:dyDescent="0.25">
      <c r="A14" s="20" t="s">
        <v>104</v>
      </c>
      <c r="B14" s="115">
        <f t="shared" si="0"/>
        <v>6.1390506918916343E-2</v>
      </c>
      <c r="C14" s="50">
        <v>-3216</v>
      </c>
      <c r="D14" s="1">
        <v>-3215.772596101393</v>
      </c>
      <c r="E14" s="114">
        <v>9216</v>
      </c>
      <c r="F14" s="1">
        <v>8682.9493385548485</v>
      </c>
      <c r="G14" s="1">
        <v>7478.1360000000004</v>
      </c>
      <c r="H14" s="1">
        <v>10010</v>
      </c>
      <c r="I14" s="1">
        <v>13124</v>
      </c>
      <c r="J14" s="1">
        <v>14610.84</v>
      </c>
      <c r="K14" s="1">
        <v>11235</v>
      </c>
      <c r="L14" s="1">
        <v>13993</v>
      </c>
      <c r="M14" s="1">
        <v>9497</v>
      </c>
      <c r="N14" s="84">
        <v>16122.869999999999</v>
      </c>
      <c r="O14" s="84">
        <v>17340.43</v>
      </c>
      <c r="P14" s="84">
        <v>24474</v>
      </c>
      <c r="Q14" s="84">
        <v>18589</v>
      </c>
      <c r="R14" s="84">
        <v>18395.234126124298</v>
      </c>
      <c r="S14" s="84">
        <v>12292.091539485882</v>
      </c>
      <c r="T14" s="84">
        <v>33900</v>
      </c>
      <c r="U14" s="84">
        <v>20861</v>
      </c>
      <c r="V14" s="84">
        <v>40903</v>
      </c>
      <c r="W14" s="1">
        <v>26913</v>
      </c>
      <c r="X14" s="29">
        <v>36671</v>
      </c>
    </row>
    <row r="15" spans="1:24" x14ac:dyDescent="0.25">
      <c r="A15" s="20" t="s">
        <v>13</v>
      </c>
      <c r="B15" s="115">
        <f t="shared" si="0"/>
        <v>2.7877649420281841E-2</v>
      </c>
      <c r="C15" s="50">
        <v>-1981</v>
      </c>
      <c r="D15" s="1">
        <v>-1706.0999999999985</v>
      </c>
      <c r="E15" s="114">
        <v>37034</v>
      </c>
      <c r="F15" s="1">
        <v>36029.58</v>
      </c>
      <c r="G15" s="1">
        <v>34477.800000000003</v>
      </c>
      <c r="H15" s="1">
        <v>35577</v>
      </c>
      <c r="I15" s="1">
        <v>34853</v>
      </c>
      <c r="J15" s="1">
        <v>35931.699999999997</v>
      </c>
      <c r="K15" s="1">
        <v>31318</v>
      </c>
      <c r="L15" s="1">
        <v>27692</v>
      </c>
      <c r="M15" s="1"/>
      <c r="N15" s="84"/>
      <c r="O15" s="84"/>
      <c r="P15" s="84"/>
      <c r="Q15" s="84"/>
      <c r="R15" s="84"/>
      <c r="S15" s="84"/>
      <c r="T15" s="84"/>
      <c r="U15" s="84"/>
      <c r="V15" s="84"/>
      <c r="W15" s="1"/>
      <c r="X15" s="29"/>
    </row>
    <row r="16" spans="1:24" x14ac:dyDescent="0.25">
      <c r="A16" s="20" t="s">
        <v>19</v>
      </c>
      <c r="B16" s="115">
        <f t="shared" si="0"/>
        <v>-0.294142920445633</v>
      </c>
      <c r="C16" s="50">
        <v>-24069</v>
      </c>
      <c r="D16" s="1">
        <v>-21729.180334160352</v>
      </c>
      <c r="E16" s="114">
        <v>59898</v>
      </c>
      <c r="F16" s="1">
        <v>84858.53827210427</v>
      </c>
      <c r="G16" s="1">
        <v>63876.956564422762</v>
      </c>
      <c r="H16" s="1">
        <v>109348</v>
      </c>
      <c r="I16" s="1">
        <v>96843</v>
      </c>
      <c r="J16" s="1">
        <v>124152.07999999999</v>
      </c>
      <c r="K16" s="1">
        <v>101154</v>
      </c>
      <c r="L16" s="1">
        <v>132232</v>
      </c>
      <c r="M16" s="1">
        <v>79720</v>
      </c>
      <c r="N16" s="84">
        <v>124025.37999999999</v>
      </c>
      <c r="O16" s="84">
        <v>124029.30000000002</v>
      </c>
      <c r="P16" s="84">
        <v>116849</v>
      </c>
      <c r="Q16" s="84">
        <v>116338</v>
      </c>
      <c r="R16" s="84">
        <v>84492.887471013732</v>
      </c>
      <c r="S16" s="84">
        <v>102326.7723113236</v>
      </c>
      <c r="T16" s="84">
        <v>106985</v>
      </c>
      <c r="U16" s="84">
        <v>126801</v>
      </c>
      <c r="V16" s="84">
        <v>105735</v>
      </c>
      <c r="W16" s="1">
        <v>86088</v>
      </c>
      <c r="X16" s="29">
        <v>114100</v>
      </c>
    </row>
    <row r="17" spans="1:24" x14ac:dyDescent="0.25">
      <c r="A17" s="20" t="s">
        <v>105</v>
      </c>
      <c r="B17" s="115">
        <f t="shared" si="0"/>
        <v>-0.12901402067200585</v>
      </c>
      <c r="C17" s="50">
        <v>-3918</v>
      </c>
      <c r="D17" s="1">
        <v>-1926.8709999999992</v>
      </c>
      <c r="E17" s="114">
        <v>15543</v>
      </c>
      <c r="F17" s="1">
        <v>17845.293000000001</v>
      </c>
      <c r="G17" s="1">
        <v>9199.2000000000007</v>
      </c>
      <c r="H17" s="1">
        <v>19719</v>
      </c>
      <c r="I17" s="1">
        <v>11415</v>
      </c>
      <c r="J17" s="1">
        <v>20008.5</v>
      </c>
      <c r="K17" s="1">
        <v>11138</v>
      </c>
      <c r="L17" s="1">
        <v>20436</v>
      </c>
      <c r="M17" s="1">
        <v>2251</v>
      </c>
      <c r="N17" s="84">
        <v>15352.099999999999</v>
      </c>
      <c r="O17" s="84">
        <v>14766.9</v>
      </c>
      <c r="P17" s="84">
        <v>15257</v>
      </c>
      <c r="Q17" s="84">
        <v>17813</v>
      </c>
      <c r="R17" s="84">
        <v>8091.1745261925289</v>
      </c>
      <c r="S17" s="84">
        <v>10171.6932110915</v>
      </c>
      <c r="T17" s="84">
        <v>9404</v>
      </c>
      <c r="U17" s="84">
        <v>9770</v>
      </c>
      <c r="V17" s="84">
        <v>7446</v>
      </c>
      <c r="W17" s="1">
        <v>10772</v>
      </c>
      <c r="X17" s="29">
        <v>4813</v>
      </c>
    </row>
    <row r="18" spans="1:24" x14ac:dyDescent="0.25">
      <c r="A18" s="20" t="s">
        <v>21</v>
      </c>
      <c r="B18" s="115" t="str">
        <f t="shared" si="0"/>
        <v/>
      </c>
      <c r="C18" s="50">
        <v>0</v>
      </c>
      <c r="D18" s="1">
        <v>0</v>
      </c>
      <c r="E18" s="114"/>
      <c r="F18" s="1"/>
      <c r="G18" s="1"/>
      <c r="H18" s="1"/>
      <c r="I18" s="1"/>
      <c r="J18" s="1"/>
      <c r="K18" s="1"/>
      <c r="L18" s="1">
        <v>2824</v>
      </c>
      <c r="M18" s="1">
        <v>2455</v>
      </c>
      <c r="N18" s="84">
        <v>6846.7</v>
      </c>
      <c r="O18" s="84">
        <v>7037.5</v>
      </c>
      <c r="P18" s="84">
        <v>8240</v>
      </c>
      <c r="Q18" s="84">
        <v>5651</v>
      </c>
      <c r="R18" s="84">
        <v>1863.7989424331413</v>
      </c>
      <c r="S18" s="84">
        <v>6617.9698064078211</v>
      </c>
      <c r="T18" s="84"/>
      <c r="U18" s="84">
        <v>4649</v>
      </c>
      <c r="V18" s="84">
        <v>5832</v>
      </c>
      <c r="W18" s="1">
        <v>3285</v>
      </c>
      <c r="X18" s="29">
        <v>7719</v>
      </c>
    </row>
    <row r="19" spans="1:24" ht="13.8" thickBot="1" x14ac:dyDescent="0.3">
      <c r="A19" s="22" t="s">
        <v>58</v>
      </c>
      <c r="B19" s="115">
        <f t="shared" si="0"/>
        <v>0.13660380130014182</v>
      </c>
      <c r="C19" s="51">
        <v>-29380</v>
      </c>
      <c r="D19" s="10">
        <v>-32877.21245577099</v>
      </c>
      <c r="E19" s="124">
        <f>193390+28741</f>
        <v>222131</v>
      </c>
      <c r="F19" s="10">
        <f>28655+166778.97597818</f>
        <v>195433.97597818001</v>
      </c>
      <c r="G19" s="10">
        <v>178027.92957708199</v>
      </c>
      <c r="H19" s="10">
        <v>131672</v>
      </c>
      <c r="I19" s="10">
        <v>96668</v>
      </c>
      <c r="J19" s="10">
        <f>8501+56120</f>
        <v>64621</v>
      </c>
      <c r="K19" s="10">
        <f>9364+44202</f>
        <v>53566</v>
      </c>
      <c r="L19" s="10">
        <v>55292</v>
      </c>
      <c r="M19" s="10">
        <v>36008</v>
      </c>
      <c r="N19" s="85">
        <v>59455.200000000004</v>
      </c>
      <c r="O19" s="85">
        <v>43272.800000000003</v>
      </c>
      <c r="P19" s="85">
        <v>44499</v>
      </c>
      <c r="Q19" s="85">
        <v>36221</v>
      </c>
      <c r="R19" s="85">
        <v>22552.167827654404</v>
      </c>
      <c r="S19" s="85">
        <v>27669.493040249494</v>
      </c>
      <c r="T19" s="85">
        <v>45748</v>
      </c>
      <c r="U19" s="85">
        <v>72517</v>
      </c>
      <c r="V19" s="85">
        <v>44156</v>
      </c>
      <c r="W19" s="10">
        <v>44338</v>
      </c>
      <c r="X19" s="31">
        <v>54771</v>
      </c>
    </row>
    <row r="20" spans="1:24" ht="13.8" thickBot="1" x14ac:dyDescent="0.3">
      <c r="A20" s="32" t="s">
        <v>22</v>
      </c>
      <c r="B20" s="106">
        <f t="shared" si="0"/>
        <v>1.1666246804444835E-2</v>
      </c>
      <c r="C20" s="52">
        <v>-237333</v>
      </c>
      <c r="D20" s="34">
        <v>-218592.93407670013</v>
      </c>
      <c r="E20" s="104">
        <f t="shared" ref="E20" si="1">SUM(E2:E19)</f>
        <v>1078068</v>
      </c>
      <c r="F20" s="34">
        <f t="shared" ref="F20:L20" si="2">SUM(F2:F19)</f>
        <v>1065636.0271040956</v>
      </c>
      <c r="G20" s="34">
        <f t="shared" si="2"/>
        <v>1022579.3837235535</v>
      </c>
      <c r="H20" s="34">
        <f t="shared" si="2"/>
        <v>961956</v>
      </c>
      <c r="I20" s="34">
        <f t="shared" si="2"/>
        <v>1018608</v>
      </c>
      <c r="J20" s="34">
        <f t="shared" si="2"/>
        <v>1020569.5599999998</v>
      </c>
      <c r="K20" s="34">
        <f t="shared" si="2"/>
        <v>986567</v>
      </c>
      <c r="L20" s="34">
        <f t="shared" si="2"/>
        <v>1132788</v>
      </c>
      <c r="M20" s="34">
        <f t="shared" ref="M20:R20" si="3">SUM(M2:M19)</f>
        <v>681663</v>
      </c>
      <c r="N20" s="34">
        <f t="shared" si="3"/>
        <v>1137766.7949999999</v>
      </c>
      <c r="O20" s="34">
        <f t="shared" si="3"/>
        <v>1121493.0589999999</v>
      </c>
      <c r="P20" s="34">
        <f t="shared" si="3"/>
        <v>1186513</v>
      </c>
      <c r="Q20" s="34">
        <f t="shared" si="3"/>
        <v>1018236</v>
      </c>
      <c r="R20" s="34">
        <f t="shared" si="3"/>
        <v>870359.99999999977</v>
      </c>
      <c r="S20" s="34">
        <f t="shared" ref="S20:X20" si="4">SUM(S2:S19)</f>
        <v>1046225.9999999999</v>
      </c>
      <c r="T20" s="34">
        <f t="shared" si="4"/>
        <v>1030234</v>
      </c>
      <c r="U20" s="34">
        <f t="shared" si="4"/>
        <v>1066063</v>
      </c>
      <c r="V20" s="34">
        <f t="shared" si="4"/>
        <v>1044596</v>
      </c>
      <c r="W20" s="34">
        <f t="shared" si="4"/>
        <v>917272</v>
      </c>
      <c r="X20" s="35">
        <f t="shared" si="4"/>
        <v>932503</v>
      </c>
    </row>
    <row r="21" spans="1:24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  <row r="22" spans="1:24" ht="13.8" thickBot="1" x14ac:dyDescent="0.3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  <row r="23" spans="1:24" ht="13.8" thickBot="1" x14ac:dyDescent="0.3">
      <c r="A23" s="23" t="s">
        <v>24</v>
      </c>
      <c r="B23" s="24" t="s">
        <v>172</v>
      </c>
      <c r="C23" s="49" t="s">
        <v>179</v>
      </c>
      <c r="D23" s="83" t="s">
        <v>173</v>
      </c>
      <c r="E23" s="159">
        <v>46054</v>
      </c>
      <c r="F23" s="86">
        <v>45689</v>
      </c>
      <c r="G23" s="86">
        <v>45323</v>
      </c>
      <c r="H23" s="86">
        <v>44958</v>
      </c>
      <c r="I23" s="86">
        <v>44593</v>
      </c>
      <c r="J23" s="86">
        <v>44228</v>
      </c>
      <c r="K23" s="86">
        <v>43862</v>
      </c>
      <c r="L23" s="86">
        <v>43497</v>
      </c>
      <c r="M23" s="86">
        <v>43132</v>
      </c>
      <c r="N23" s="25">
        <v>42767</v>
      </c>
      <c r="O23" s="25">
        <v>42401</v>
      </c>
      <c r="P23" s="25">
        <v>42036</v>
      </c>
      <c r="Q23" s="25">
        <v>41671</v>
      </c>
      <c r="R23" s="25">
        <v>41306</v>
      </c>
      <c r="S23" s="25">
        <v>40940</v>
      </c>
      <c r="T23" s="25">
        <v>40575</v>
      </c>
      <c r="U23" s="25">
        <v>40210</v>
      </c>
      <c r="V23" s="25">
        <v>39845</v>
      </c>
      <c r="W23" s="25">
        <v>39479</v>
      </c>
      <c r="X23" s="26">
        <v>39114</v>
      </c>
    </row>
    <row r="24" spans="1:24" x14ac:dyDescent="0.25">
      <c r="A24" s="20" t="s">
        <v>102</v>
      </c>
      <c r="B24" s="27">
        <f t="shared" ref="B24:B29" si="5">IFERROR(((E24-F24)/F24),"")</f>
        <v>-0.40554688087053159</v>
      </c>
      <c r="C24" s="50">
        <v>-9028.0902438004523</v>
      </c>
      <c r="D24" s="1">
        <v>-12786.707756032836</v>
      </c>
      <c r="E24" s="114">
        <v>19299.406704454203</v>
      </c>
      <c r="F24" s="1">
        <v>32465.817881007544</v>
      </c>
      <c r="G24" s="1">
        <v>3485.3639403181633</v>
      </c>
      <c r="H24" s="1">
        <v>37262.842530456779</v>
      </c>
      <c r="I24" s="161"/>
      <c r="J24" s="161"/>
      <c r="K24" s="161"/>
      <c r="L24" s="161"/>
      <c r="M24" s="161"/>
      <c r="N24" s="162"/>
      <c r="O24" s="162"/>
      <c r="P24" s="162"/>
      <c r="Q24" s="162"/>
      <c r="R24" s="162"/>
      <c r="S24" s="162"/>
      <c r="T24" s="162"/>
      <c r="U24" s="162"/>
      <c r="V24" s="161"/>
      <c r="W24" s="161"/>
      <c r="X24" s="163"/>
    </row>
    <row r="25" spans="1:24" x14ac:dyDescent="0.25">
      <c r="A25" s="20" t="s">
        <v>7</v>
      </c>
      <c r="B25" s="27">
        <f t="shared" si="5"/>
        <v>-0.29265780124614538</v>
      </c>
      <c r="C25" s="50">
        <v>-1181.9829055557229</v>
      </c>
      <c r="D25" s="1">
        <v>-1887.1390047232399</v>
      </c>
      <c r="E25" s="114">
        <v>5533.9690742543544</v>
      </c>
      <c r="F25" s="1">
        <v>7823.6093986810192</v>
      </c>
      <c r="G25" s="1">
        <v>3236.8754602701565</v>
      </c>
      <c r="H25" s="1">
        <v>11051.218777104697</v>
      </c>
      <c r="I25" s="161"/>
      <c r="J25" s="161"/>
      <c r="K25" s="161"/>
      <c r="L25" s="161"/>
      <c r="M25" s="161"/>
      <c r="N25" s="162"/>
      <c r="O25" s="162"/>
      <c r="P25" s="162"/>
      <c r="Q25" s="162"/>
      <c r="R25" s="162"/>
      <c r="S25" s="162"/>
      <c r="T25" s="162"/>
      <c r="U25" s="162"/>
      <c r="V25" s="161"/>
      <c r="W25" s="161"/>
      <c r="X25" s="163"/>
    </row>
    <row r="26" spans="1:24" x14ac:dyDescent="0.25">
      <c r="A26" s="20" t="s">
        <v>103</v>
      </c>
      <c r="B26" s="27">
        <f t="shared" si="5"/>
        <v>-0.53776747282775805</v>
      </c>
      <c r="C26" s="50">
        <v>-352.8979653837356</v>
      </c>
      <c r="D26" s="1">
        <v>-968.85644892463074</v>
      </c>
      <c r="E26" s="114">
        <v>916.16504717919804</v>
      </c>
      <c r="F26" s="1">
        <v>1982.0436540542439</v>
      </c>
      <c r="G26" s="1">
        <v>85</v>
      </c>
      <c r="H26" s="1">
        <v>2452.067234709577</v>
      </c>
      <c r="I26" s="161"/>
      <c r="J26" s="161"/>
      <c r="K26" s="161"/>
      <c r="L26" s="161"/>
      <c r="M26" s="161"/>
      <c r="N26" s="162"/>
      <c r="O26" s="162"/>
      <c r="P26" s="162"/>
      <c r="Q26" s="162"/>
      <c r="R26" s="162"/>
      <c r="S26" s="162"/>
      <c r="T26" s="162"/>
      <c r="U26" s="162"/>
      <c r="V26" s="161"/>
      <c r="W26" s="161"/>
      <c r="X26" s="163"/>
    </row>
    <row r="27" spans="1:24" x14ac:dyDescent="0.25">
      <c r="A27" s="20" t="s">
        <v>29</v>
      </c>
      <c r="B27" s="27">
        <f t="shared" si="5"/>
        <v>-0.34662568668228244</v>
      </c>
      <c r="C27" s="50">
        <v>-1812.7241609723824</v>
      </c>
      <c r="D27" s="1">
        <v>-2029.0659495940672</v>
      </c>
      <c r="E27" s="114">
        <v>4422.038408104414</v>
      </c>
      <c r="F27" s="1">
        <v>6768.0016155671874</v>
      </c>
      <c r="G27" s="1">
        <v>2075.3464673615345</v>
      </c>
      <c r="H27" s="1">
        <v>6101.4817585491046</v>
      </c>
      <c r="I27" s="161"/>
      <c r="J27" s="161"/>
      <c r="K27" s="161"/>
      <c r="L27" s="161"/>
      <c r="M27" s="161"/>
      <c r="N27" s="162"/>
      <c r="O27" s="162"/>
      <c r="P27" s="162"/>
      <c r="Q27" s="162"/>
      <c r="R27" s="162"/>
      <c r="S27" s="162"/>
      <c r="T27" s="162"/>
      <c r="U27" s="162"/>
      <c r="V27" s="161"/>
      <c r="W27" s="161"/>
      <c r="X27" s="163"/>
    </row>
    <row r="28" spans="1:24" ht="13.8" thickBot="1" x14ac:dyDescent="0.3">
      <c r="A28" s="30" t="s">
        <v>58</v>
      </c>
      <c r="B28" s="28">
        <f t="shared" si="5"/>
        <v>-7.9434080080883804E-2</v>
      </c>
      <c r="C28" s="51">
        <v>-12638.065146182304</v>
      </c>
      <c r="D28" s="10">
        <v>-14669.692036376899</v>
      </c>
      <c r="E28" s="124">
        <v>13690.203877499342</v>
      </c>
      <c r="F28" s="10">
        <v>14871.508472421188</v>
      </c>
      <c r="G28" s="10">
        <v>2900</v>
      </c>
      <c r="H28" s="10">
        <v>15152.473389303999</v>
      </c>
      <c r="I28" s="164"/>
      <c r="J28" s="164"/>
      <c r="K28" s="164"/>
      <c r="L28" s="164"/>
      <c r="M28" s="164"/>
      <c r="N28" s="165"/>
      <c r="O28" s="165"/>
      <c r="P28" s="165"/>
      <c r="Q28" s="165"/>
      <c r="R28" s="165"/>
      <c r="S28" s="165"/>
      <c r="T28" s="165"/>
      <c r="U28" s="165"/>
      <c r="V28" s="164"/>
      <c r="W28" s="164"/>
      <c r="X28" s="166"/>
    </row>
    <row r="29" spans="1:24" ht="13.8" thickBot="1" x14ac:dyDescent="0.3">
      <c r="A29" s="32" t="s">
        <v>22</v>
      </c>
      <c r="B29" s="33">
        <f t="shared" si="5"/>
        <v>-0.31370505646631358</v>
      </c>
      <c r="C29" s="52">
        <v>-25013.7604218946</v>
      </c>
      <c r="D29" s="34">
        <v>-32341.461195651675</v>
      </c>
      <c r="E29" s="104">
        <f>SUM(E24:E28)</f>
        <v>43861.78311149151</v>
      </c>
      <c r="F29" s="34">
        <f t="shared" ref="F29:H29" si="6">SUM(F24:F28)</f>
        <v>63910.98102173119</v>
      </c>
      <c r="G29" s="34">
        <f t="shared" si="6"/>
        <v>11782.585867949854</v>
      </c>
      <c r="H29" s="34">
        <f t="shared" si="6"/>
        <v>72020.083690124156</v>
      </c>
      <c r="I29" s="167"/>
      <c r="J29" s="167"/>
      <c r="K29" s="167"/>
      <c r="L29" s="167"/>
      <c r="M29" s="167"/>
      <c r="N29" s="168"/>
      <c r="O29" s="167"/>
      <c r="P29" s="167"/>
      <c r="Q29" s="167"/>
      <c r="R29" s="167"/>
      <c r="S29" s="167"/>
      <c r="T29" s="167"/>
      <c r="U29" s="167"/>
      <c r="V29" s="167"/>
      <c r="W29" s="167"/>
      <c r="X29" s="169"/>
    </row>
    <row r="30" spans="1:24" x14ac:dyDescent="0.25">
      <c r="B30" s="53" t="s">
        <v>169</v>
      </c>
    </row>
    <row r="36" spans="23:25" ht="17.399999999999999" x14ac:dyDescent="0.3">
      <c r="W36" s="5"/>
      <c r="X36" s="1"/>
      <c r="Y36" s="1"/>
    </row>
    <row r="37" spans="23:25" ht="17.399999999999999" x14ac:dyDescent="0.3">
      <c r="W37" s="5"/>
      <c r="X37" s="1"/>
      <c r="Y37" s="1"/>
    </row>
    <row r="38" spans="23:25" ht="17.399999999999999" x14ac:dyDescent="0.3">
      <c r="W38" s="5"/>
      <c r="X38" s="1"/>
      <c r="Y38" s="1"/>
    </row>
    <row r="39" spans="23:25" ht="17.399999999999999" x14ac:dyDescent="0.3">
      <c r="W39" s="5"/>
      <c r="X39" s="1"/>
      <c r="Y39" s="1"/>
    </row>
    <row r="40" spans="23:25" ht="17.399999999999999" x14ac:dyDescent="0.3">
      <c r="W40" s="5"/>
      <c r="X40" s="1"/>
      <c r="Y40" s="1"/>
    </row>
    <row r="41" spans="23:25" ht="17.399999999999999" x14ac:dyDescent="0.3">
      <c r="W41" s="5"/>
      <c r="X41" s="1"/>
      <c r="Y41" s="1"/>
    </row>
    <row r="42" spans="23:25" ht="17.399999999999999" x14ac:dyDescent="0.3">
      <c r="W42" s="5"/>
      <c r="X42" s="1"/>
      <c r="Y42" s="1"/>
    </row>
    <row r="43" spans="23:25" ht="17.399999999999999" x14ac:dyDescent="0.3">
      <c r="W43" s="5"/>
      <c r="X43" s="1"/>
      <c r="Y43" s="1"/>
    </row>
    <row r="44" spans="23:25" ht="17.399999999999999" x14ac:dyDescent="0.3">
      <c r="W44" s="5"/>
      <c r="X44" s="1"/>
      <c r="Y44" s="1"/>
    </row>
    <row r="45" spans="23:25" ht="17.399999999999999" x14ac:dyDescent="0.3">
      <c r="W45" s="5"/>
      <c r="X45" s="1"/>
      <c r="Y45" s="1"/>
    </row>
    <row r="46" spans="23:25" ht="17.399999999999999" x14ac:dyDescent="0.3">
      <c r="W46" s="6"/>
      <c r="X46" s="1"/>
      <c r="Y46" s="1"/>
    </row>
    <row r="47" spans="23:25" ht="18" x14ac:dyDescent="0.35">
      <c r="W47" s="7"/>
      <c r="X47" s="2"/>
      <c r="Y47" s="2"/>
    </row>
  </sheetData>
  <conditionalFormatting sqref="E1">
    <cfRule type="expression" dxfId="11" priority="3">
      <formula>ISBLANK(XFD1)=FALSE</formula>
    </cfRule>
  </conditionalFormatting>
  <conditionalFormatting sqref="E23">
    <cfRule type="expression" dxfId="10" priority="1">
      <formula>ISBLANK(XFD23)=FALSE</formula>
    </cfRule>
  </conditionalFormatting>
  <pageMargins left="0.75" right="0.75" top="1" bottom="1" header="0.5" footer="0.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Y43"/>
  <sheetViews>
    <sheetView zoomScaleNormal="100" workbookViewId="0"/>
  </sheetViews>
  <sheetFormatPr defaultColWidth="9.109375" defaultRowHeight="13.2" x14ac:dyDescent="0.25"/>
  <cols>
    <col min="1" max="1" width="19.6640625" customWidth="1"/>
    <col min="2" max="2" width="10.6640625" customWidth="1"/>
    <col min="3" max="3" width="11.6640625" bestFit="1" customWidth="1"/>
    <col min="4" max="4" width="11.33203125" bestFit="1" customWidth="1"/>
    <col min="5" max="5" width="11.33203125" customWidth="1"/>
    <col min="6" max="13" width="11.44140625" customWidth="1"/>
    <col min="14" max="24" width="10.109375" bestFit="1" customWidth="1"/>
  </cols>
  <sheetData>
    <row r="1" spans="1:24" ht="13.8" thickBot="1" x14ac:dyDescent="0.3">
      <c r="A1" s="39" t="s">
        <v>89</v>
      </c>
      <c r="B1" s="24" t="s">
        <v>172</v>
      </c>
      <c r="C1" s="49" t="s">
        <v>179</v>
      </c>
      <c r="D1" s="83" t="s">
        <v>173</v>
      </c>
      <c r="E1" s="159">
        <v>46054</v>
      </c>
      <c r="F1" s="86">
        <v>45689</v>
      </c>
      <c r="G1" s="86">
        <v>45323</v>
      </c>
      <c r="H1" s="86">
        <v>44958</v>
      </c>
      <c r="I1" s="86">
        <v>44593</v>
      </c>
      <c r="J1" s="86">
        <v>44228</v>
      </c>
      <c r="K1" s="86">
        <v>43862</v>
      </c>
      <c r="L1" s="86">
        <v>43497</v>
      </c>
      <c r="M1" s="86">
        <v>43132</v>
      </c>
      <c r="N1" s="25">
        <v>42767</v>
      </c>
      <c r="O1" s="25">
        <v>42401</v>
      </c>
      <c r="P1" s="25">
        <v>42036</v>
      </c>
      <c r="Q1" s="25">
        <v>41671</v>
      </c>
      <c r="R1" s="25">
        <v>41306</v>
      </c>
      <c r="S1" s="25">
        <v>40940</v>
      </c>
      <c r="T1" s="25">
        <v>40575</v>
      </c>
      <c r="U1" s="25">
        <v>40210</v>
      </c>
      <c r="V1" s="25">
        <v>39845</v>
      </c>
      <c r="W1" s="25">
        <v>39479</v>
      </c>
      <c r="X1" s="26">
        <v>39114</v>
      </c>
    </row>
    <row r="2" spans="1:24" x14ac:dyDescent="0.25">
      <c r="A2" s="40" t="s">
        <v>4</v>
      </c>
      <c r="B2" s="115" t="str">
        <f t="shared" ref="B2:B18" si="0">IFERROR(((E2-F2)/F2),"")</f>
        <v/>
      </c>
      <c r="C2" s="50">
        <v>0</v>
      </c>
      <c r="D2" s="1">
        <v>0</v>
      </c>
      <c r="E2" s="114"/>
      <c r="F2" s="1"/>
      <c r="G2" s="1"/>
      <c r="H2" s="1"/>
      <c r="I2" s="1"/>
      <c r="J2" s="1"/>
      <c r="K2" s="1"/>
      <c r="L2" s="1"/>
      <c r="M2" s="1">
        <v>0</v>
      </c>
      <c r="N2" s="1">
        <v>0</v>
      </c>
      <c r="O2" s="1">
        <v>0</v>
      </c>
      <c r="P2" s="1">
        <v>0</v>
      </c>
      <c r="Q2" s="1"/>
      <c r="R2" s="1"/>
      <c r="S2" s="1"/>
      <c r="T2" s="1"/>
      <c r="U2" s="1">
        <v>3000</v>
      </c>
      <c r="V2" s="1">
        <v>2000</v>
      </c>
      <c r="W2" s="1">
        <v>0</v>
      </c>
      <c r="X2" s="29">
        <v>0</v>
      </c>
    </row>
    <row r="3" spans="1:24" x14ac:dyDescent="0.25">
      <c r="A3" s="40" t="s">
        <v>32</v>
      </c>
      <c r="B3" s="115" t="str">
        <f t="shared" si="0"/>
        <v/>
      </c>
      <c r="C3" s="50">
        <v>0</v>
      </c>
      <c r="D3" s="1">
        <v>0</v>
      </c>
      <c r="E3" s="114"/>
      <c r="F3" s="1"/>
      <c r="G3" s="1"/>
      <c r="H3" s="1"/>
      <c r="I3" s="1"/>
      <c r="J3" s="1"/>
      <c r="K3" s="1"/>
      <c r="L3" s="1"/>
      <c r="M3" s="1">
        <v>0</v>
      </c>
      <c r="N3" s="1">
        <v>0</v>
      </c>
      <c r="O3" s="1">
        <v>0</v>
      </c>
      <c r="P3" s="1">
        <v>0</v>
      </c>
      <c r="Q3" s="1">
        <v>500</v>
      </c>
      <c r="R3" s="1">
        <v>2000</v>
      </c>
      <c r="S3" s="1">
        <v>2000</v>
      </c>
      <c r="T3" s="1">
        <v>12000</v>
      </c>
      <c r="U3" s="1">
        <v>15000</v>
      </c>
      <c r="V3" s="1">
        <v>10000</v>
      </c>
      <c r="W3" s="1">
        <v>4000</v>
      </c>
      <c r="X3" s="29">
        <v>15000</v>
      </c>
    </row>
    <row r="4" spans="1:24" x14ac:dyDescent="0.25">
      <c r="A4" s="20" t="s">
        <v>2</v>
      </c>
      <c r="B4" s="115" t="str">
        <f t="shared" si="0"/>
        <v/>
      </c>
      <c r="C4" s="50">
        <v>0</v>
      </c>
      <c r="D4" s="1">
        <v>0</v>
      </c>
      <c r="E4" s="114"/>
      <c r="F4" s="1"/>
      <c r="G4" s="1"/>
      <c r="H4" s="1"/>
      <c r="I4" s="1"/>
      <c r="J4" s="1"/>
      <c r="K4" s="1"/>
      <c r="L4" s="1"/>
      <c r="M4" s="1">
        <v>0</v>
      </c>
      <c r="N4" s="1">
        <v>0</v>
      </c>
      <c r="O4" s="1">
        <v>0</v>
      </c>
      <c r="P4" s="1">
        <v>0</v>
      </c>
      <c r="Q4" s="1">
        <v>500</v>
      </c>
      <c r="R4" s="1">
        <v>2000</v>
      </c>
      <c r="S4" s="1">
        <v>2000</v>
      </c>
      <c r="T4" s="1"/>
      <c r="U4" s="1">
        <v>10000</v>
      </c>
      <c r="V4" s="1">
        <v>8000</v>
      </c>
      <c r="W4" s="1">
        <v>1000</v>
      </c>
      <c r="X4" s="29">
        <v>1000</v>
      </c>
    </row>
    <row r="5" spans="1:24" x14ac:dyDescent="0.25">
      <c r="A5" s="20" t="s">
        <v>9</v>
      </c>
      <c r="B5" s="115">
        <f t="shared" si="0"/>
        <v>0.3</v>
      </c>
      <c r="C5" s="50">
        <v>-35000</v>
      </c>
      <c r="D5" s="1">
        <v>-50000</v>
      </c>
      <c r="E5" s="114">
        <v>65000</v>
      </c>
      <c r="F5" s="1">
        <v>50000</v>
      </c>
      <c r="G5" s="1">
        <v>85000</v>
      </c>
      <c r="H5" s="1">
        <v>95000</v>
      </c>
      <c r="I5" s="1">
        <v>135000</v>
      </c>
      <c r="J5" s="1">
        <v>80000</v>
      </c>
      <c r="K5" s="1">
        <v>70000</v>
      </c>
      <c r="L5" s="1">
        <v>90000</v>
      </c>
      <c r="M5" s="1">
        <v>40000</v>
      </c>
      <c r="N5" s="1">
        <v>40000</v>
      </c>
      <c r="O5" s="1">
        <v>50000</v>
      </c>
      <c r="P5" s="1">
        <v>50000</v>
      </c>
      <c r="Q5" s="1">
        <v>70000</v>
      </c>
      <c r="R5" s="1">
        <v>35000</v>
      </c>
      <c r="S5" s="1">
        <v>50000</v>
      </c>
      <c r="T5" s="1">
        <v>55000</v>
      </c>
      <c r="U5" s="1">
        <v>55000</v>
      </c>
      <c r="V5" s="1">
        <v>35000</v>
      </c>
      <c r="W5" s="1">
        <v>25000</v>
      </c>
      <c r="X5" s="29">
        <v>28000</v>
      </c>
    </row>
    <row r="6" spans="1:24" x14ac:dyDescent="0.25">
      <c r="A6" s="20" t="s">
        <v>14</v>
      </c>
      <c r="B6" s="115">
        <f t="shared" si="0"/>
        <v>0</v>
      </c>
      <c r="C6" s="50">
        <v>-4000</v>
      </c>
      <c r="D6" s="1">
        <v>-2000</v>
      </c>
      <c r="E6" s="114">
        <v>16000</v>
      </c>
      <c r="F6" s="1">
        <v>16000</v>
      </c>
      <c r="G6" s="1">
        <v>17000</v>
      </c>
      <c r="H6" s="1">
        <v>20000</v>
      </c>
      <c r="I6" s="1">
        <v>40000</v>
      </c>
      <c r="J6" s="1">
        <v>65000</v>
      </c>
      <c r="K6" s="1">
        <v>65000</v>
      </c>
      <c r="L6" s="38">
        <v>80000</v>
      </c>
      <c r="M6" s="1">
        <v>80000</v>
      </c>
      <c r="N6" s="1">
        <v>80000</v>
      </c>
      <c r="O6" s="1">
        <v>80000</v>
      </c>
      <c r="P6" s="1">
        <v>70000</v>
      </c>
      <c r="Q6" s="1">
        <v>80000</v>
      </c>
      <c r="R6" s="1">
        <v>80000</v>
      </c>
      <c r="S6" s="1">
        <v>75000</v>
      </c>
      <c r="T6" s="1">
        <v>20000</v>
      </c>
      <c r="U6" s="1">
        <v>15000</v>
      </c>
      <c r="V6" s="1">
        <v>10000</v>
      </c>
      <c r="W6" s="1">
        <v>10000</v>
      </c>
      <c r="X6" s="29">
        <v>20000</v>
      </c>
    </row>
    <row r="7" spans="1:24" x14ac:dyDescent="0.25">
      <c r="A7" s="20" t="s">
        <v>3</v>
      </c>
      <c r="B7" s="115">
        <f t="shared" si="0"/>
        <v>8.8235294117647065E-2</v>
      </c>
      <c r="C7" s="50">
        <v>-25000</v>
      </c>
      <c r="D7" s="1">
        <v>-30000</v>
      </c>
      <c r="E7" s="114">
        <v>185000</v>
      </c>
      <c r="F7" s="1">
        <v>170000</v>
      </c>
      <c r="G7" s="1">
        <v>215000</v>
      </c>
      <c r="H7" s="1">
        <v>170000</v>
      </c>
      <c r="I7" s="1">
        <v>190000</v>
      </c>
      <c r="J7" s="1">
        <v>100000</v>
      </c>
      <c r="K7" s="1">
        <v>90000</v>
      </c>
      <c r="L7" s="1">
        <v>120000</v>
      </c>
      <c r="M7" s="1">
        <v>120000</v>
      </c>
      <c r="N7" s="84">
        <v>135000</v>
      </c>
      <c r="O7" s="84">
        <v>140000</v>
      </c>
      <c r="P7" s="84">
        <v>140000</v>
      </c>
      <c r="Q7" s="84">
        <v>110000</v>
      </c>
      <c r="R7" s="84">
        <v>110000</v>
      </c>
      <c r="S7" s="84">
        <v>110000</v>
      </c>
      <c r="T7" s="84">
        <v>58000</v>
      </c>
      <c r="U7" s="84">
        <v>70000</v>
      </c>
      <c r="V7" s="84">
        <v>85000</v>
      </c>
      <c r="W7" s="1">
        <v>55000</v>
      </c>
      <c r="X7" s="29">
        <v>45000</v>
      </c>
    </row>
    <row r="8" spans="1:24" x14ac:dyDescent="0.25">
      <c r="A8" s="20" t="s">
        <v>10</v>
      </c>
      <c r="B8" s="115">
        <f t="shared" si="0"/>
        <v>0.28000000000000003</v>
      </c>
      <c r="C8" s="50">
        <v>-30000</v>
      </c>
      <c r="D8" s="1">
        <v>-20000</v>
      </c>
      <c r="E8" s="114">
        <v>160000</v>
      </c>
      <c r="F8" s="1">
        <v>125000</v>
      </c>
      <c r="G8" s="1">
        <v>130000</v>
      </c>
      <c r="H8" s="1">
        <v>180000</v>
      </c>
      <c r="I8" s="1">
        <v>220000</v>
      </c>
      <c r="J8" s="1">
        <v>200000</v>
      </c>
      <c r="K8" s="1">
        <v>130000</v>
      </c>
      <c r="L8" s="1">
        <v>270000</v>
      </c>
      <c r="M8" s="1">
        <v>120000</v>
      </c>
      <c r="N8" s="84">
        <v>275000</v>
      </c>
      <c r="O8" s="84">
        <v>280000</v>
      </c>
      <c r="P8" s="84">
        <v>270000</v>
      </c>
      <c r="Q8" s="84">
        <v>220000</v>
      </c>
      <c r="R8" s="84">
        <v>210000</v>
      </c>
      <c r="S8" s="84">
        <v>205000</v>
      </c>
      <c r="T8" s="84">
        <v>88000</v>
      </c>
      <c r="U8" s="84">
        <v>100000</v>
      </c>
      <c r="V8" s="84">
        <v>130000</v>
      </c>
      <c r="W8" s="1">
        <v>30000</v>
      </c>
      <c r="X8" s="29">
        <v>70000</v>
      </c>
    </row>
    <row r="9" spans="1:24" x14ac:dyDescent="0.25">
      <c r="A9" s="20" t="s">
        <v>26</v>
      </c>
      <c r="B9" s="115">
        <f t="shared" si="0"/>
        <v>0</v>
      </c>
      <c r="C9" s="50">
        <v>-5000</v>
      </c>
      <c r="D9" s="1">
        <v>-5000</v>
      </c>
      <c r="E9" s="114">
        <v>35000</v>
      </c>
      <c r="F9" s="1">
        <v>35000</v>
      </c>
      <c r="G9" s="1">
        <v>40000</v>
      </c>
      <c r="H9" s="1">
        <v>50000</v>
      </c>
      <c r="I9" s="1">
        <v>60000</v>
      </c>
      <c r="J9" s="1">
        <v>80000</v>
      </c>
      <c r="K9" s="1">
        <v>30000</v>
      </c>
      <c r="L9" s="1">
        <v>70000</v>
      </c>
      <c r="M9" s="1">
        <v>30000</v>
      </c>
      <c r="N9" s="84">
        <v>80000</v>
      </c>
      <c r="O9" s="84">
        <v>80000</v>
      </c>
      <c r="P9" s="84">
        <v>80000</v>
      </c>
      <c r="Q9" s="84">
        <v>70000</v>
      </c>
      <c r="R9" s="84">
        <v>70000</v>
      </c>
      <c r="S9" s="84">
        <v>75000</v>
      </c>
      <c r="T9" s="84">
        <v>30000</v>
      </c>
      <c r="U9" s="84">
        <v>60000</v>
      </c>
      <c r="V9" s="84">
        <v>10000</v>
      </c>
      <c r="W9" s="1">
        <v>2000</v>
      </c>
      <c r="X9" s="29">
        <v>8000</v>
      </c>
    </row>
    <row r="10" spans="1:24" x14ac:dyDescent="0.25">
      <c r="A10" s="20" t="s">
        <v>155</v>
      </c>
      <c r="B10" s="115">
        <f t="shared" si="0"/>
        <v>0.125</v>
      </c>
      <c r="C10" s="50">
        <v>-15000</v>
      </c>
      <c r="D10" s="1">
        <v>-10000</v>
      </c>
      <c r="E10" s="114">
        <v>45000</v>
      </c>
      <c r="F10" s="1">
        <v>40000</v>
      </c>
      <c r="G10" s="1">
        <v>55000</v>
      </c>
      <c r="H10" s="1">
        <v>60000</v>
      </c>
      <c r="I10" s="1">
        <v>95000</v>
      </c>
      <c r="J10" s="1">
        <v>90000</v>
      </c>
      <c r="K10" s="1">
        <v>20000</v>
      </c>
      <c r="L10" s="1">
        <v>120000</v>
      </c>
      <c r="M10" s="1">
        <v>60000</v>
      </c>
      <c r="N10" s="84">
        <v>100000</v>
      </c>
      <c r="O10" s="84">
        <v>110000</v>
      </c>
      <c r="P10" s="84">
        <v>105000</v>
      </c>
      <c r="Q10" s="84">
        <v>95000</v>
      </c>
      <c r="R10" s="84">
        <v>100000</v>
      </c>
      <c r="S10" s="84">
        <v>100000</v>
      </c>
      <c r="T10" s="84"/>
      <c r="U10" s="84">
        <v>8000</v>
      </c>
      <c r="V10" s="84">
        <v>5000</v>
      </c>
      <c r="W10" s="1">
        <v>2000</v>
      </c>
      <c r="X10" s="29">
        <v>2000</v>
      </c>
    </row>
    <row r="11" spans="1:24" x14ac:dyDescent="0.25">
      <c r="A11" s="75" t="s">
        <v>33</v>
      </c>
      <c r="B11" s="115" t="str">
        <f t="shared" si="0"/>
        <v/>
      </c>
      <c r="C11" s="50">
        <v>0</v>
      </c>
      <c r="D11" s="1">
        <v>0</v>
      </c>
      <c r="E11" s="114"/>
      <c r="F11" s="1"/>
      <c r="G11" s="1"/>
      <c r="H11" s="1"/>
      <c r="I11" s="1"/>
      <c r="J11" s="1"/>
      <c r="K11" s="1"/>
      <c r="L11" s="1"/>
      <c r="M11" s="1"/>
      <c r="N11" s="84">
        <v>0</v>
      </c>
      <c r="O11" s="84">
        <v>0</v>
      </c>
      <c r="P11" s="84">
        <v>0</v>
      </c>
      <c r="Q11" s="84">
        <v>500</v>
      </c>
      <c r="R11" s="84">
        <v>0</v>
      </c>
      <c r="S11" s="84">
        <v>2000</v>
      </c>
      <c r="T11" s="84">
        <v>24000</v>
      </c>
      <c r="U11" s="84">
        <v>45000</v>
      </c>
      <c r="V11" s="84">
        <v>40000</v>
      </c>
      <c r="W11" s="1">
        <v>15000</v>
      </c>
      <c r="X11" s="29">
        <v>27000</v>
      </c>
    </row>
    <row r="12" spans="1:24" x14ac:dyDescent="0.25">
      <c r="A12" s="75" t="s">
        <v>13</v>
      </c>
      <c r="B12" s="115">
        <f t="shared" si="0"/>
        <v>0.2</v>
      </c>
      <c r="C12" s="50">
        <v>-20000</v>
      </c>
      <c r="D12" s="1">
        <v>-15000</v>
      </c>
      <c r="E12" s="114">
        <v>30000</v>
      </c>
      <c r="F12" s="1">
        <v>25000</v>
      </c>
      <c r="G12" s="1">
        <v>40000</v>
      </c>
      <c r="H12" s="1">
        <v>37000</v>
      </c>
      <c r="I12" s="1">
        <v>23000</v>
      </c>
      <c r="J12" s="1">
        <v>25000</v>
      </c>
      <c r="K12" s="1">
        <v>7000</v>
      </c>
      <c r="L12" s="1">
        <v>25000</v>
      </c>
      <c r="M12" s="1">
        <v>10000</v>
      </c>
      <c r="N12" s="84">
        <v>10000</v>
      </c>
      <c r="O12" s="84">
        <v>10000</v>
      </c>
      <c r="P12" s="84">
        <v>10000</v>
      </c>
      <c r="Q12" s="84">
        <v>10000</v>
      </c>
      <c r="R12" s="84"/>
      <c r="S12" s="84"/>
      <c r="T12" s="84"/>
      <c r="U12" s="84">
        <v>5000</v>
      </c>
      <c r="V12" s="84">
        <v>2000</v>
      </c>
      <c r="W12" s="1">
        <v>1000</v>
      </c>
      <c r="X12" s="29">
        <v>1000</v>
      </c>
    </row>
    <row r="13" spans="1:24" x14ac:dyDescent="0.25">
      <c r="A13" s="75" t="s">
        <v>19</v>
      </c>
      <c r="B13" s="115">
        <f t="shared" si="0"/>
        <v>-0.33333333333333331</v>
      </c>
      <c r="C13" s="50">
        <v>-15000</v>
      </c>
      <c r="D13" s="1">
        <v>-5000</v>
      </c>
      <c r="E13" s="114">
        <v>20000</v>
      </c>
      <c r="F13" s="1">
        <v>30000</v>
      </c>
      <c r="G13" s="1">
        <v>35000</v>
      </c>
      <c r="H13" s="1">
        <v>50000</v>
      </c>
      <c r="I13" s="1">
        <v>23000</v>
      </c>
      <c r="J13" s="1">
        <v>15000</v>
      </c>
      <c r="K13" s="1">
        <v>7000</v>
      </c>
      <c r="L13" s="1"/>
      <c r="M13" s="1">
        <v>0</v>
      </c>
      <c r="N13" s="84">
        <v>1000</v>
      </c>
      <c r="O13" s="84">
        <v>0</v>
      </c>
      <c r="P13" s="84">
        <v>1000</v>
      </c>
      <c r="Q13" s="84">
        <v>1000</v>
      </c>
      <c r="R13" s="84">
        <v>0</v>
      </c>
      <c r="S13" s="84">
        <v>2000</v>
      </c>
      <c r="T13" s="84"/>
      <c r="U13" s="84">
        <v>10000</v>
      </c>
      <c r="V13" s="84">
        <v>10000</v>
      </c>
      <c r="W13" s="1">
        <v>5000</v>
      </c>
      <c r="X13" s="29">
        <v>4000</v>
      </c>
    </row>
    <row r="14" spans="1:24" x14ac:dyDescent="0.25">
      <c r="A14" s="75" t="s">
        <v>132</v>
      </c>
      <c r="B14" s="115">
        <f t="shared" si="0"/>
        <v>0.34782608695652173</v>
      </c>
      <c r="C14" s="50">
        <v>-35000</v>
      </c>
      <c r="D14" s="1">
        <v>-30000</v>
      </c>
      <c r="E14" s="114">
        <v>155000</v>
      </c>
      <c r="F14" s="1">
        <v>115000</v>
      </c>
      <c r="G14" s="1">
        <v>145000</v>
      </c>
      <c r="H14" s="1">
        <v>215000</v>
      </c>
      <c r="I14" s="1">
        <v>155000</v>
      </c>
      <c r="J14" s="1">
        <v>110000</v>
      </c>
      <c r="K14" s="1">
        <v>65000</v>
      </c>
      <c r="L14" s="1">
        <v>50000</v>
      </c>
      <c r="M14" s="1"/>
      <c r="N14" s="84"/>
      <c r="O14" s="84"/>
      <c r="P14" s="84"/>
      <c r="Q14" s="84"/>
      <c r="R14" s="84"/>
      <c r="S14" s="84"/>
      <c r="T14" s="84"/>
      <c r="U14" s="84"/>
      <c r="V14" s="84"/>
      <c r="W14" s="1"/>
      <c r="X14" s="29"/>
    </row>
    <row r="15" spans="1:24" x14ac:dyDescent="0.25">
      <c r="A15" s="75" t="s">
        <v>87</v>
      </c>
      <c r="B15" s="115">
        <f t="shared" si="0"/>
        <v>0</v>
      </c>
      <c r="C15" s="50">
        <v>-15000</v>
      </c>
      <c r="D15" s="1">
        <v>-15000</v>
      </c>
      <c r="E15" s="114">
        <v>65000</v>
      </c>
      <c r="F15" s="1">
        <v>65000</v>
      </c>
      <c r="G15" s="1">
        <v>70000</v>
      </c>
      <c r="H15" s="1">
        <v>85000</v>
      </c>
      <c r="I15" s="1">
        <v>97000</v>
      </c>
      <c r="J15" s="1">
        <v>100000</v>
      </c>
      <c r="K15" s="1">
        <v>80000</v>
      </c>
      <c r="L15" s="1">
        <v>170000</v>
      </c>
      <c r="M15" s="1">
        <v>100000</v>
      </c>
      <c r="N15" s="84">
        <v>145000</v>
      </c>
      <c r="O15" s="84">
        <v>150000</v>
      </c>
      <c r="P15" s="84">
        <v>140000</v>
      </c>
      <c r="Q15" s="84">
        <v>140000</v>
      </c>
      <c r="R15" s="84">
        <v>100000</v>
      </c>
      <c r="S15" s="84">
        <v>105000</v>
      </c>
      <c r="T15" s="84">
        <v>60000</v>
      </c>
      <c r="U15" s="84">
        <v>45000</v>
      </c>
      <c r="V15" s="84">
        <v>60000</v>
      </c>
      <c r="W15" s="1">
        <v>25000</v>
      </c>
      <c r="X15" s="29">
        <v>44000</v>
      </c>
    </row>
    <row r="16" spans="1:24" x14ac:dyDescent="0.25">
      <c r="A16" s="75" t="s">
        <v>34</v>
      </c>
      <c r="B16" s="115" t="str">
        <f t="shared" si="0"/>
        <v/>
      </c>
      <c r="C16" s="50">
        <v>0</v>
      </c>
      <c r="D16" s="1">
        <v>0</v>
      </c>
      <c r="E16" s="114"/>
      <c r="F16" s="1"/>
      <c r="G16" s="1"/>
      <c r="H16" s="1"/>
      <c r="I16" s="1">
        <v>0</v>
      </c>
      <c r="J16" s="1"/>
      <c r="K16" s="1"/>
      <c r="L16" s="1"/>
      <c r="M16" s="1"/>
      <c r="N16" s="84"/>
      <c r="O16" s="84">
        <v>0</v>
      </c>
      <c r="P16" s="84">
        <v>0</v>
      </c>
      <c r="Q16" s="84"/>
      <c r="R16" s="84"/>
      <c r="S16" s="84"/>
      <c r="T16" s="84"/>
      <c r="U16" s="84">
        <v>2000</v>
      </c>
      <c r="V16" s="84">
        <v>5000</v>
      </c>
      <c r="W16" s="1">
        <v>0</v>
      </c>
      <c r="X16" s="29">
        <v>0</v>
      </c>
    </row>
    <row r="17" spans="1:25" ht="13.8" thickBot="1" x14ac:dyDescent="0.3">
      <c r="A17" s="21" t="s">
        <v>58</v>
      </c>
      <c r="B17" s="115">
        <f t="shared" si="0"/>
        <v>-0.11764705882352941</v>
      </c>
      <c r="C17" s="50">
        <v>-20000</v>
      </c>
      <c r="D17" s="1">
        <v>-7000</v>
      </c>
      <c r="E17" s="114">
        <v>60000</v>
      </c>
      <c r="F17" s="1">
        <v>68000</v>
      </c>
      <c r="G17" s="1">
        <v>80000</v>
      </c>
      <c r="H17" s="1">
        <v>100000</v>
      </c>
      <c r="I17" s="1">
        <v>110000</v>
      </c>
      <c r="J17" s="1">
        <v>200000</v>
      </c>
      <c r="K17" s="1">
        <v>70000</v>
      </c>
      <c r="L17" s="1">
        <v>220000</v>
      </c>
      <c r="M17" s="1">
        <v>100000</v>
      </c>
      <c r="N17" s="84">
        <v>160000</v>
      </c>
      <c r="O17" s="84">
        <v>170000</v>
      </c>
      <c r="P17" s="84">
        <v>150000</v>
      </c>
      <c r="Q17" s="84">
        <v>80000</v>
      </c>
      <c r="R17" s="84">
        <v>110000</v>
      </c>
      <c r="S17" s="84">
        <v>75000</v>
      </c>
      <c r="T17" s="84">
        <v>23000</v>
      </c>
      <c r="U17" s="84">
        <v>17000</v>
      </c>
      <c r="V17" s="84">
        <v>18000</v>
      </c>
      <c r="W17" s="1">
        <v>25000</v>
      </c>
      <c r="X17" s="29">
        <v>25000</v>
      </c>
    </row>
    <row r="18" spans="1:25" ht="13.8" thickBot="1" x14ac:dyDescent="0.3">
      <c r="A18" s="23" t="s">
        <v>22</v>
      </c>
      <c r="B18" s="106">
        <f t="shared" si="0"/>
        <v>0.13125845737483086</v>
      </c>
      <c r="C18" s="74">
        <v>-219000</v>
      </c>
      <c r="D18" s="46">
        <v>-189000</v>
      </c>
      <c r="E18" s="45">
        <f t="shared" ref="E18" si="1">SUM(E2:E17)</f>
        <v>836000</v>
      </c>
      <c r="F18" s="46">
        <f t="shared" ref="F18:L18" si="2">SUM(F2:F17)</f>
        <v>739000</v>
      </c>
      <c r="G18" s="46">
        <f t="shared" si="2"/>
        <v>912000</v>
      </c>
      <c r="H18" s="46">
        <f t="shared" si="2"/>
        <v>1062000</v>
      </c>
      <c r="I18" s="46">
        <f t="shared" si="2"/>
        <v>1148000</v>
      </c>
      <c r="J18" s="46">
        <f t="shared" si="2"/>
        <v>1065000</v>
      </c>
      <c r="K18" s="46">
        <f t="shared" si="2"/>
        <v>634000</v>
      </c>
      <c r="L18" s="46">
        <f t="shared" si="2"/>
        <v>1215000</v>
      </c>
      <c r="M18" s="46">
        <f t="shared" ref="M18:R18" si="3">SUM(M2:M17)</f>
        <v>660000</v>
      </c>
      <c r="N18" s="46">
        <f t="shared" si="3"/>
        <v>1026000</v>
      </c>
      <c r="O18" s="46">
        <f t="shared" si="3"/>
        <v>1070000</v>
      </c>
      <c r="P18" s="46">
        <f t="shared" si="3"/>
        <v>1016000</v>
      </c>
      <c r="Q18" s="46">
        <f t="shared" si="3"/>
        <v>877500</v>
      </c>
      <c r="R18" s="46">
        <f t="shared" si="3"/>
        <v>819000</v>
      </c>
      <c r="S18" s="46">
        <f t="shared" ref="S18:X18" si="4">SUM(S2:S17)</f>
        <v>803000</v>
      </c>
      <c r="T18" s="46">
        <f t="shared" si="4"/>
        <v>370000</v>
      </c>
      <c r="U18" s="46">
        <f t="shared" si="4"/>
        <v>460000</v>
      </c>
      <c r="V18" s="46">
        <f t="shared" si="4"/>
        <v>430000</v>
      </c>
      <c r="W18" s="46">
        <f t="shared" si="4"/>
        <v>200000</v>
      </c>
      <c r="X18" s="97">
        <f t="shared" si="4"/>
        <v>290000</v>
      </c>
    </row>
    <row r="19" spans="1:25" x14ac:dyDescent="0.25">
      <c r="B19" s="36"/>
      <c r="C19" s="36"/>
      <c r="N19" s="36"/>
    </row>
    <row r="20" spans="1:25" ht="13.8" thickBot="1" x14ac:dyDescent="0.3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  <row r="21" spans="1:25" ht="13.8" thickBot="1" x14ac:dyDescent="0.3">
      <c r="A21" s="23" t="s">
        <v>24</v>
      </c>
      <c r="B21" s="24" t="s">
        <v>172</v>
      </c>
      <c r="C21" s="49" t="s">
        <v>179</v>
      </c>
      <c r="D21" s="83" t="s">
        <v>173</v>
      </c>
      <c r="E21" s="159">
        <v>46054</v>
      </c>
      <c r="F21" s="86">
        <v>45689</v>
      </c>
      <c r="G21" s="86">
        <v>45323</v>
      </c>
      <c r="H21" s="86">
        <v>44958</v>
      </c>
      <c r="I21" s="86">
        <v>44593</v>
      </c>
      <c r="J21" s="86">
        <v>44228</v>
      </c>
      <c r="K21" s="86">
        <v>43862</v>
      </c>
      <c r="L21" s="86">
        <v>43497</v>
      </c>
      <c r="M21" s="86">
        <v>43132</v>
      </c>
      <c r="N21" s="25">
        <v>42767</v>
      </c>
      <c r="O21" s="25">
        <v>42401</v>
      </c>
      <c r="P21" s="25">
        <v>42036</v>
      </c>
      <c r="Q21" s="25">
        <v>41671</v>
      </c>
      <c r="R21" s="25">
        <v>41306</v>
      </c>
      <c r="S21" s="25">
        <v>40940</v>
      </c>
      <c r="T21" s="25">
        <v>40575</v>
      </c>
      <c r="U21" s="25">
        <v>40210</v>
      </c>
      <c r="V21" s="25">
        <v>39845</v>
      </c>
      <c r="W21" s="25">
        <v>39479</v>
      </c>
      <c r="X21" s="26">
        <v>39114</v>
      </c>
    </row>
    <row r="22" spans="1:25" x14ac:dyDescent="0.25">
      <c r="A22" s="20" t="s">
        <v>7</v>
      </c>
      <c r="B22" s="27">
        <f t="shared" ref="B22:B25" si="5">IFERROR(((E22-F22)/F22),"")</f>
        <v>0.2</v>
      </c>
      <c r="C22" s="50">
        <v>-20000</v>
      </c>
      <c r="D22" s="1">
        <v>-15000</v>
      </c>
      <c r="E22" s="114">
        <v>30000</v>
      </c>
      <c r="F22" s="1">
        <v>25000</v>
      </c>
      <c r="G22" s="1">
        <v>20000</v>
      </c>
      <c r="H22" s="1">
        <v>18000</v>
      </c>
      <c r="I22" s="1">
        <v>14000</v>
      </c>
      <c r="J22" s="1">
        <v>9000</v>
      </c>
      <c r="K22" s="1">
        <v>1000</v>
      </c>
      <c r="L22" s="1">
        <v>8000</v>
      </c>
      <c r="M22" s="1">
        <v>1000</v>
      </c>
      <c r="N22" s="1">
        <v>1000</v>
      </c>
      <c r="O22" s="1">
        <v>6000</v>
      </c>
      <c r="P22" s="1">
        <v>3000</v>
      </c>
      <c r="Q22" s="1">
        <v>10000</v>
      </c>
      <c r="R22" s="1">
        <v>1000</v>
      </c>
      <c r="S22" s="1">
        <v>7000</v>
      </c>
      <c r="T22" s="1">
        <v>6000</v>
      </c>
      <c r="U22" s="1">
        <v>15000</v>
      </c>
      <c r="V22" s="1">
        <v>7000</v>
      </c>
      <c r="W22" s="1">
        <v>4000</v>
      </c>
      <c r="X22" s="29">
        <v>10000</v>
      </c>
    </row>
    <row r="23" spans="1:25" x14ac:dyDescent="0.25">
      <c r="A23" s="40" t="s">
        <v>91</v>
      </c>
      <c r="B23" s="115" t="str">
        <f t="shared" si="5"/>
        <v/>
      </c>
      <c r="C23" s="50">
        <v>0</v>
      </c>
      <c r="D23" s="1">
        <v>0</v>
      </c>
      <c r="E23" s="114"/>
      <c r="F23" s="1"/>
      <c r="G23" s="1"/>
      <c r="H23" s="1"/>
      <c r="I23" s="1"/>
      <c r="J23" s="1"/>
      <c r="K23" s="1"/>
      <c r="L23" s="1"/>
      <c r="M23" s="1">
        <v>0</v>
      </c>
      <c r="N23" s="1">
        <v>0</v>
      </c>
      <c r="O23" s="1">
        <v>0</v>
      </c>
      <c r="P23" s="1">
        <v>0</v>
      </c>
      <c r="Q23" s="1"/>
      <c r="R23" s="1"/>
      <c r="S23" s="1"/>
      <c r="T23" s="1"/>
      <c r="U23" s="1">
        <v>0</v>
      </c>
      <c r="V23" s="1">
        <v>0</v>
      </c>
      <c r="W23" s="1">
        <v>0</v>
      </c>
      <c r="X23" s="29">
        <v>0</v>
      </c>
    </row>
    <row r="24" spans="1:25" ht="13.8" thickBot="1" x14ac:dyDescent="0.3">
      <c r="A24" s="30" t="s">
        <v>58</v>
      </c>
      <c r="B24" s="28">
        <f t="shared" si="5"/>
        <v>0</v>
      </c>
      <c r="C24" s="51">
        <v>-1500</v>
      </c>
      <c r="D24" s="10">
        <v>-1500</v>
      </c>
      <c r="E24" s="124">
        <v>3500</v>
      </c>
      <c r="F24" s="10">
        <v>3500</v>
      </c>
      <c r="G24" s="10">
        <v>2500</v>
      </c>
      <c r="H24" s="10">
        <v>2000</v>
      </c>
      <c r="I24" s="10">
        <v>3000</v>
      </c>
      <c r="J24" s="10"/>
      <c r="K24" s="10">
        <v>0</v>
      </c>
      <c r="L24" s="10">
        <v>0</v>
      </c>
      <c r="M24" s="10">
        <v>0</v>
      </c>
      <c r="N24" s="10">
        <v>0</v>
      </c>
      <c r="O24" s="10">
        <v>1000</v>
      </c>
      <c r="P24" s="10">
        <v>0</v>
      </c>
      <c r="Q24" s="10">
        <v>2000</v>
      </c>
      <c r="R24" s="10"/>
      <c r="S24" s="10">
        <v>1000</v>
      </c>
      <c r="T24" s="10">
        <v>2000</v>
      </c>
      <c r="U24" s="10">
        <v>3000</v>
      </c>
      <c r="V24" s="10">
        <v>3000</v>
      </c>
      <c r="W24" s="10">
        <v>1000</v>
      </c>
      <c r="X24" s="31">
        <v>3000</v>
      </c>
    </row>
    <row r="25" spans="1:25" ht="13.8" thickBot="1" x14ac:dyDescent="0.3">
      <c r="A25" s="32" t="s">
        <v>22</v>
      </c>
      <c r="B25" s="33">
        <f t="shared" si="5"/>
        <v>0.17543859649122806</v>
      </c>
      <c r="C25" s="52">
        <v>-21500</v>
      </c>
      <c r="D25" s="34">
        <v>-16500</v>
      </c>
      <c r="E25" s="104">
        <f>SUM(E22:E24)</f>
        <v>33500</v>
      </c>
      <c r="F25" s="34">
        <f t="shared" ref="F25:L25" si="6">SUM(F22:F24)</f>
        <v>28500</v>
      </c>
      <c r="G25" s="34">
        <f t="shared" si="6"/>
        <v>22500</v>
      </c>
      <c r="H25" s="34">
        <f t="shared" si="6"/>
        <v>20000</v>
      </c>
      <c r="I25" s="34">
        <f t="shared" si="6"/>
        <v>17000</v>
      </c>
      <c r="J25" s="34">
        <f t="shared" si="6"/>
        <v>9000</v>
      </c>
      <c r="K25" s="34">
        <f t="shared" si="6"/>
        <v>1000</v>
      </c>
      <c r="L25" s="34">
        <f t="shared" si="6"/>
        <v>8000</v>
      </c>
      <c r="M25" s="34">
        <f t="shared" ref="M25:R25" si="7">SUM(M22:M24)</f>
        <v>1000</v>
      </c>
      <c r="N25" s="34">
        <f t="shared" si="7"/>
        <v>1000</v>
      </c>
      <c r="O25" s="34">
        <f t="shared" si="7"/>
        <v>7000</v>
      </c>
      <c r="P25" s="34">
        <f t="shared" si="7"/>
        <v>3000</v>
      </c>
      <c r="Q25" s="34">
        <f t="shared" si="7"/>
        <v>12000</v>
      </c>
      <c r="R25" s="34">
        <f t="shared" si="7"/>
        <v>1000</v>
      </c>
      <c r="S25" s="34">
        <f t="shared" ref="S25:X25" si="8">SUM(S22:S24)</f>
        <v>8000</v>
      </c>
      <c r="T25" s="34">
        <f t="shared" si="8"/>
        <v>8000</v>
      </c>
      <c r="U25" s="34">
        <f t="shared" si="8"/>
        <v>18000</v>
      </c>
      <c r="V25" s="34">
        <f t="shared" si="8"/>
        <v>10000</v>
      </c>
      <c r="W25" s="34">
        <f t="shared" si="8"/>
        <v>5000</v>
      </c>
      <c r="X25" s="35">
        <f t="shared" si="8"/>
        <v>13000</v>
      </c>
    </row>
    <row r="27" spans="1:25" x14ac:dyDescent="0.25">
      <c r="B27" s="3" t="s">
        <v>176</v>
      </c>
    </row>
    <row r="28" spans="1:25" x14ac:dyDescent="0.25">
      <c r="B28" s="3" t="s">
        <v>177</v>
      </c>
    </row>
    <row r="32" spans="1:25" ht="17.399999999999999" x14ac:dyDescent="0.3">
      <c r="W32" s="5"/>
      <c r="X32" s="1"/>
      <c r="Y32" s="1"/>
    </row>
    <row r="33" spans="23:25" ht="17.399999999999999" x14ac:dyDescent="0.3">
      <c r="W33" s="5"/>
      <c r="X33" s="1"/>
      <c r="Y33" s="1"/>
    </row>
    <row r="34" spans="23:25" ht="17.399999999999999" x14ac:dyDescent="0.3">
      <c r="W34" s="5"/>
      <c r="X34" s="1"/>
      <c r="Y34" s="1"/>
    </row>
    <row r="35" spans="23:25" ht="17.399999999999999" x14ac:dyDescent="0.3">
      <c r="W35" s="5"/>
      <c r="X35" s="1"/>
      <c r="Y35" s="1"/>
    </row>
    <row r="36" spans="23:25" ht="17.399999999999999" x14ac:dyDescent="0.3">
      <c r="W36" s="5"/>
      <c r="X36" s="1"/>
      <c r="Y36" s="1"/>
    </row>
    <row r="37" spans="23:25" ht="17.399999999999999" x14ac:dyDescent="0.3">
      <c r="W37" s="5"/>
      <c r="X37" s="1"/>
      <c r="Y37" s="1"/>
    </row>
    <row r="38" spans="23:25" ht="17.399999999999999" x14ac:dyDescent="0.3">
      <c r="W38" s="5"/>
      <c r="X38" s="1"/>
      <c r="Y38" s="1"/>
    </row>
    <row r="39" spans="23:25" ht="17.399999999999999" x14ac:dyDescent="0.3">
      <c r="W39" s="5"/>
      <c r="X39" s="1"/>
      <c r="Y39" s="1"/>
    </row>
    <row r="40" spans="23:25" ht="17.399999999999999" x14ac:dyDescent="0.3">
      <c r="W40" s="5"/>
      <c r="X40" s="1"/>
      <c r="Y40" s="1"/>
    </row>
    <row r="41" spans="23:25" ht="17.399999999999999" x14ac:dyDescent="0.3">
      <c r="W41" s="5"/>
      <c r="X41" s="1"/>
      <c r="Y41" s="1"/>
    </row>
    <row r="42" spans="23:25" ht="17.399999999999999" x14ac:dyDescent="0.3">
      <c r="W42" s="6"/>
      <c r="X42" s="1"/>
      <c r="Y42" s="1"/>
    </row>
    <row r="43" spans="23:25" ht="18" x14ac:dyDescent="0.35">
      <c r="W43" s="7"/>
      <c r="X43" s="2"/>
      <c r="Y43" s="2"/>
    </row>
  </sheetData>
  <conditionalFormatting sqref="E1">
    <cfRule type="expression" dxfId="9" priority="3">
      <formula>ISBLANK(XFD1)=FALSE</formula>
    </cfRule>
  </conditionalFormatting>
  <conditionalFormatting sqref="E21">
    <cfRule type="expression" dxfId="8" priority="1">
      <formula>ISBLANK(XFD21)=FALSE</formula>
    </cfRule>
  </conditionalFormatting>
  <pageMargins left="0.75" right="0.75" top="1" bottom="1" header="0.5" footer="0.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15"/>
  <sheetViews>
    <sheetView zoomScaleNormal="100" workbookViewId="0"/>
  </sheetViews>
  <sheetFormatPr defaultColWidth="9.109375" defaultRowHeight="13.2" x14ac:dyDescent="0.25"/>
  <cols>
    <col min="1" max="1" width="29" customWidth="1"/>
    <col min="2" max="2" width="11" bestFit="1" customWidth="1"/>
    <col min="3" max="4" width="11.44140625" bestFit="1" customWidth="1"/>
    <col min="5" max="10" width="11.44140625" customWidth="1"/>
    <col min="11" max="13" width="11" customWidth="1"/>
    <col min="14" max="19" width="10.6640625" customWidth="1"/>
  </cols>
  <sheetData>
    <row r="1" spans="1:19" ht="13.8" thickBot="1" x14ac:dyDescent="0.3">
      <c r="A1" s="39" t="s">
        <v>89</v>
      </c>
      <c r="B1" s="24" t="s">
        <v>172</v>
      </c>
      <c r="C1" s="49" t="s">
        <v>173</v>
      </c>
      <c r="D1" s="83" t="s">
        <v>170</v>
      </c>
      <c r="E1" s="159">
        <v>45689</v>
      </c>
      <c r="F1" s="86">
        <v>45323</v>
      </c>
      <c r="G1" s="86">
        <v>44958</v>
      </c>
      <c r="H1" s="86">
        <v>44593</v>
      </c>
      <c r="I1" s="86">
        <v>44228</v>
      </c>
      <c r="J1" s="86">
        <v>43862</v>
      </c>
      <c r="K1" s="86">
        <v>43497</v>
      </c>
      <c r="L1" s="25">
        <v>43132</v>
      </c>
      <c r="M1" s="25">
        <v>42767</v>
      </c>
      <c r="N1" s="25">
        <v>42401</v>
      </c>
      <c r="O1" s="25">
        <v>42036</v>
      </c>
      <c r="P1" s="25">
        <v>41671</v>
      </c>
      <c r="Q1" s="25">
        <v>41306</v>
      </c>
      <c r="R1" s="25">
        <v>40940</v>
      </c>
      <c r="S1" s="26">
        <v>40575</v>
      </c>
    </row>
    <row r="2" spans="1:19" x14ac:dyDescent="0.25">
      <c r="A2" s="40" t="s">
        <v>9</v>
      </c>
      <c r="B2" s="47" t="str">
        <f t="shared" ref="B2:B9" si="0">IFERROR(((E2-F2)/F2),"")</f>
        <v/>
      </c>
      <c r="C2" s="146"/>
      <c r="D2" s="131"/>
      <c r="E2" s="143"/>
      <c r="F2" s="131"/>
      <c r="G2" s="131"/>
      <c r="H2" s="131"/>
      <c r="I2" s="131"/>
      <c r="J2" s="131"/>
      <c r="K2" s="131"/>
      <c r="L2" s="38"/>
      <c r="M2" s="38"/>
      <c r="N2" s="38"/>
      <c r="O2" s="38"/>
      <c r="P2" s="38"/>
      <c r="Q2" s="38"/>
      <c r="R2" s="38"/>
      <c r="S2" s="68"/>
    </row>
    <row r="3" spans="1:19" x14ac:dyDescent="0.25">
      <c r="A3" s="40" t="s">
        <v>149</v>
      </c>
      <c r="B3" s="47" t="str">
        <f t="shared" si="0"/>
        <v/>
      </c>
      <c r="C3" s="146"/>
      <c r="D3" s="131"/>
      <c r="E3" s="143"/>
      <c r="F3" s="131"/>
      <c r="G3" s="131"/>
      <c r="H3" s="131"/>
      <c r="I3" s="131"/>
      <c r="J3" s="131"/>
      <c r="K3" s="131"/>
      <c r="L3" s="38"/>
      <c r="M3" s="38"/>
      <c r="N3" s="38"/>
      <c r="O3" s="38"/>
      <c r="P3" s="38"/>
      <c r="Q3" s="38"/>
      <c r="R3" s="38"/>
      <c r="S3" s="68"/>
    </row>
    <row r="4" spans="1:19" x14ac:dyDescent="0.25">
      <c r="A4" s="40" t="s">
        <v>26</v>
      </c>
      <c r="B4" s="47" t="str">
        <f t="shared" si="0"/>
        <v/>
      </c>
      <c r="C4" s="146"/>
      <c r="D4" s="131"/>
      <c r="E4" s="143"/>
      <c r="F4" s="131"/>
      <c r="G4" s="131"/>
      <c r="H4" s="131"/>
      <c r="I4" s="131"/>
      <c r="J4" s="131"/>
      <c r="K4" s="131"/>
      <c r="L4" s="38"/>
      <c r="M4" s="38"/>
      <c r="N4" s="38"/>
      <c r="O4" s="38"/>
      <c r="P4" s="38"/>
      <c r="Q4" s="38"/>
      <c r="R4" s="38"/>
      <c r="S4" s="68"/>
    </row>
    <row r="5" spans="1:19" x14ac:dyDescent="0.25">
      <c r="A5" s="40" t="s">
        <v>25</v>
      </c>
      <c r="B5" s="47" t="str">
        <f t="shared" si="0"/>
        <v/>
      </c>
      <c r="C5" s="146"/>
      <c r="D5" s="131"/>
      <c r="E5" s="143"/>
      <c r="F5" s="131"/>
      <c r="G5" s="131"/>
      <c r="H5" s="131"/>
      <c r="I5" s="131"/>
      <c r="J5" s="131"/>
      <c r="K5" s="131"/>
      <c r="L5" s="38"/>
      <c r="M5" s="38"/>
      <c r="N5" s="38"/>
      <c r="O5" s="38"/>
      <c r="P5" s="38"/>
      <c r="Q5" s="38"/>
      <c r="R5" s="38"/>
      <c r="S5" s="68"/>
    </row>
    <row r="6" spans="1:19" x14ac:dyDescent="0.25">
      <c r="A6" s="40" t="s">
        <v>19</v>
      </c>
      <c r="B6" s="47" t="str">
        <f t="shared" si="0"/>
        <v/>
      </c>
      <c r="C6" s="146"/>
      <c r="D6" s="131"/>
      <c r="E6" s="143"/>
      <c r="F6" s="131"/>
      <c r="G6" s="131"/>
      <c r="H6" s="131"/>
      <c r="I6" s="131"/>
      <c r="J6" s="131"/>
      <c r="K6" s="131"/>
      <c r="L6" s="38"/>
      <c r="M6" s="38"/>
      <c r="N6" s="38"/>
      <c r="O6" s="38"/>
      <c r="P6" s="38"/>
      <c r="Q6" s="38"/>
      <c r="R6" s="38"/>
      <c r="S6" s="68"/>
    </row>
    <row r="7" spans="1:19" x14ac:dyDescent="0.25">
      <c r="A7" s="40" t="s">
        <v>86</v>
      </c>
      <c r="B7" s="47" t="str">
        <f t="shared" si="0"/>
        <v/>
      </c>
      <c r="C7" s="146"/>
      <c r="D7" s="131"/>
      <c r="E7" s="143"/>
      <c r="F7" s="131"/>
      <c r="G7" s="131"/>
      <c r="H7" s="131"/>
      <c r="I7" s="131"/>
      <c r="J7" s="131"/>
      <c r="K7" s="131"/>
      <c r="L7" s="38"/>
      <c r="M7" s="38"/>
      <c r="N7" s="38"/>
      <c r="O7" s="38"/>
      <c r="P7" s="38"/>
      <c r="Q7" s="38"/>
      <c r="R7" s="38"/>
      <c r="S7" s="68"/>
    </row>
    <row r="8" spans="1:19" ht="13.8" thickBot="1" x14ac:dyDescent="0.3">
      <c r="A8" s="41" t="s">
        <v>6</v>
      </c>
      <c r="B8" s="48" t="str">
        <f t="shared" si="0"/>
        <v/>
      </c>
      <c r="C8" s="147"/>
      <c r="D8" s="149"/>
      <c r="E8" s="144"/>
      <c r="F8" s="149"/>
      <c r="G8" s="149"/>
      <c r="H8" s="149"/>
      <c r="I8" s="149"/>
      <c r="J8" s="149"/>
      <c r="K8" s="149"/>
      <c r="L8" s="37"/>
      <c r="M8" s="38"/>
      <c r="N8" s="38"/>
      <c r="O8" s="38"/>
      <c r="P8" s="38"/>
      <c r="Q8" s="38"/>
      <c r="R8" s="38"/>
      <c r="S8" s="68"/>
    </row>
    <row r="9" spans="1:19" ht="13.8" thickBot="1" x14ac:dyDescent="0.3">
      <c r="A9" s="42" t="s">
        <v>90</v>
      </c>
      <c r="B9" s="82" t="str">
        <f t="shared" si="0"/>
        <v/>
      </c>
      <c r="C9" s="148"/>
      <c r="D9" s="150"/>
      <c r="E9" s="145"/>
      <c r="F9" s="150"/>
      <c r="G9" s="150"/>
      <c r="H9" s="150"/>
      <c r="I9" s="150"/>
      <c r="J9" s="150"/>
      <c r="K9" s="150"/>
      <c r="L9" s="46"/>
      <c r="M9" s="46"/>
      <c r="N9" s="46"/>
      <c r="O9" s="46"/>
      <c r="P9" s="46"/>
      <c r="Q9" s="46"/>
      <c r="R9" s="46"/>
      <c r="S9" s="97"/>
    </row>
    <row r="11" spans="1:19" ht="13.8" thickBot="1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13.8" thickBot="1" x14ac:dyDescent="0.3">
      <c r="A12" s="54" t="s">
        <v>89</v>
      </c>
      <c r="B12" s="24" t="s">
        <v>172</v>
      </c>
      <c r="C12" s="49" t="s">
        <v>173</v>
      </c>
      <c r="D12" s="83" t="s">
        <v>170</v>
      </c>
      <c r="E12" s="159">
        <v>45689</v>
      </c>
      <c r="F12" s="86">
        <v>45323</v>
      </c>
      <c r="G12" s="86">
        <v>44958</v>
      </c>
      <c r="H12" s="86">
        <v>44593</v>
      </c>
      <c r="I12" s="86">
        <v>44228</v>
      </c>
      <c r="J12" s="86">
        <v>43862</v>
      </c>
      <c r="K12" s="86">
        <v>43497</v>
      </c>
      <c r="L12" s="25">
        <v>43132</v>
      </c>
      <c r="M12" s="25">
        <v>42767</v>
      </c>
      <c r="N12" s="25">
        <v>42401</v>
      </c>
      <c r="O12" s="25">
        <v>42036</v>
      </c>
      <c r="P12" s="25">
        <v>41671</v>
      </c>
      <c r="Q12" s="25">
        <v>41306</v>
      </c>
      <c r="R12" s="25">
        <v>40940</v>
      </c>
      <c r="S12" s="26">
        <v>40575</v>
      </c>
    </row>
    <row r="13" spans="1:19" ht="13.8" thickBot="1" x14ac:dyDescent="0.3">
      <c r="A13" s="56" t="s">
        <v>150</v>
      </c>
      <c r="B13" s="57" t="str">
        <f t="shared" ref="B13:B14" si="1">IFERROR(((E13-F13)/F13),"")</f>
        <v/>
      </c>
      <c r="C13" s="151"/>
      <c r="D13" s="59"/>
      <c r="E13" s="58"/>
      <c r="F13" s="59"/>
      <c r="G13" s="59"/>
      <c r="H13" s="59"/>
      <c r="I13" s="59"/>
      <c r="J13" s="59">
        <v>66403</v>
      </c>
      <c r="K13" s="152">
        <v>56990</v>
      </c>
      <c r="L13" s="59"/>
      <c r="M13" s="59"/>
      <c r="N13" s="59"/>
      <c r="O13" s="59"/>
      <c r="P13" s="59"/>
      <c r="Q13" s="59"/>
      <c r="R13" s="59"/>
      <c r="S13" s="71"/>
    </row>
    <row r="14" spans="1:19" ht="13.8" thickBot="1" x14ac:dyDescent="0.3">
      <c r="A14" s="54" t="s">
        <v>90</v>
      </c>
      <c r="B14" s="65" t="str">
        <f t="shared" si="1"/>
        <v/>
      </c>
      <c r="C14" s="151"/>
      <c r="D14" s="89"/>
      <c r="E14" s="66"/>
      <c r="F14" s="89"/>
      <c r="G14" s="89"/>
      <c r="H14" s="89"/>
      <c r="I14" s="89"/>
      <c r="J14" s="89">
        <f>SUM(J13)</f>
        <v>66403</v>
      </c>
      <c r="K14" s="46">
        <v>56990</v>
      </c>
      <c r="L14" s="89"/>
      <c r="M14" s="89"/>
      <c r="N14" s="89"/>
      <c r="O14" s="89"/>
      <c r="P14" s="89"/>
      <c r="Q14" s="89"/>
      <c r="R14" s="89"/>
      <c r="S14" s="90"/>
    </row>
    <row r="15" spans="1:19" x14ac:dyDescent="0.25">
      <c r="A15" t="s">
        <v>161</v>
      </c>
    </row>
  </sheetData>
  <pageMargins left="0.7" right="0.7" top="0.75" bottom="0.75" header="0.3" footer="0.3"/>
  <pageSetup paperSize="9" orientation="portrait" horizontalDpi="429496729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Y35"/>
  <sheetViews>
    <sheetView zoomScaleNormal="100" workbookViewId="0"/>
  </sheetViews>
  <sheetFormatPr defaultColWidth="9.109375" defaultRowHeight="13.2" x14ac:dyDescent="0.25"/>
  <cols>
    <col min="1" max="1" width="18.6640625" customWidth="1"/>
    <col min="2" max="2" width="10.6640625" customWidth="1"/>
    <col min="3" max="3" width="11.6640625" bestFit="1" customWidth="1"/>
    <col min="4" max="4" width="11.33203125" bestFit="1" customWidth="1"/>
    <col min="5" max="5" width="11.33203125" customWidth="1"/>
    <col min="6" max="13" width="11.6640625" customWidth="1"/>
    <col min="14" max="24" width="10.109375" bestFit="1" customWidth="1"/>
  </cols>
  <sheetData>
    <row r="1" spans="1:24" ht="13.8" thickBot="1" x14ac:dyDescent="0.3">
      <c r="A1" s="39" t="s">
        <v>89</v>
      </c>
      <c r="B1" s="24" t="s">
        <v>172</v>
      </c>
      <c r="C1" s="49" t="s">
        <v>179</v>
      </c>
      <c r="D1" s="83" t="s">
        <v>173</v>
      </c>
      <c r="E1" s="159">
        <v>46054</v>
      </c>
      <c r="F1" s="86">
        <v>45689</v>
      </c>
      <c r="G1" s="86">
        <v>45323</v>
      </c>
      <c r="H1" s="86">
        <v>44958</v>
      </c>
      <c r="I1" s="86">
        <v>44593</v>
      </c>
      <c r="J1" s="86">
        <v>44228</v>
      </c>
      <c r="K1" s="86">
        <v>43862</v>
      </c>
      <c r="L1" s="86">
        <v>43497</v>
      </c>
      <c r="M1" s="86">
        <v>43132</v>
      </c>
      <c r="N1" s="25">
        <v>42767</v>
      </c>
      <c r="O1" s="25">
        <v>42401</v>
      </c>
      <c r="P1" s="25">
        <v>42036</v>
      </c>
      <c r="Q1" s="25">
        <v>41671</v>
      </c>
      <c r="R1" s="25">
        <v>41306</v>
      </c>
      <c r="S1" s="25">
        <v>40940</v>
      </c>
      <c r="T1" s="25">
        <v>40575</v>
      </c>
      <c r="U1" s="25">
        <v>40210</v>
      </c>
      <c r="V1" s="25">
        <v>39845</v>
      </c>
      <c r="W1" s="25">
        <v>39479</v>
      </c>
      <c r="X1" s="26">
        <v>39114</v>
      </c>
    </row>
    <row r="2" spans="1:24" x14ac:dyDescent="0.25">
      <c r="A2" s="20" t="s">
        <v>107</v>
      </c>
      <c r="B2" s="27">
        <f t="shared" ref="B2:B8" si="0">IFERROR(((E2-F2)/F2),"")</f>
        <v>-0.13124315819496404</v>
      </c>
      <c r="C2" s="50">
        <v>-4324.0152577629815</v>
      </c>
      <c r="D2" s="1">
        <v>-3759.8353011306026</v>
      </c>
      <c r="E2" s="114">
        <v>14391.984742237019</v>
      </c>
      <c r="F2" s="1">
        <v>16566.182906064329</v>
      </c>
      <c r="G2" s="1">
        <v>11458.09338115912</v>
      </c>
      <c r="H2" s="1">
        <v>14064.425723566197</v>
      </c>
      <c r="I2" s="1">
        <v>16723.701398318895</v>
      </c>
      <c r="J2" s="1">
        <v>15812.901511618677</v>
      </c>
      <c r="K2" s="1">
        <v>20327.466369202353</v>
      </c>
      <c r="L2" s="1">
        <v>20235</v>
      </c>
      <c r="M2" s="1">
        <v>14370</v>
      </c>
      <c r="N2" s="1">
        <v>19140.510504500817</v>
      </c>
      <c r="O2" s="1">
        <v>15687.373504818752</v>
      </c>
      <c r="P2" s="1">
        <v>12216</v>
      </c>
      <c r="Q2" s="1">
        <v>14715.400067416827</v>
      </c>
      <c r="R2" s="1">
        <v>6630.0785799326677</v>
      </c>
      <c r="S2" s="1">
        <v>11064.23610650075</v>
      </c>
      <c r="T2" s="1">
        <v>11273</v>
      </c>
      <c r="U2" s="1">
        <v>9241</v>
      </c>
      <c r="V2" s="1">
        <v>11486</v>
      </c>
      <c r="W2" s="1">
        <v>11817</v>
      </c>
      <c r="X2" s="29">
        <v>4618</v>
      </c>
    </row>
    <row r="3" spans="1:24" x14ac:dyDescent="0.25">
      <c r="A3" s="20" t="s">
        <v>108</v>
      </c>
      <c r="B3" s="27">
        <f t="shared" si="0"/>
        <v>1.0792299968549819</v>
      </c>
      <c r="C3" s="50">
        <v>-3018.1976192836883</v>
      </c>
      <c r="D3" s="1">
        <v>-5451.0455604611325</v>
      </c>
      <c r="E3" s="114">
        <v>4238.8023807163117</v>
      </c>
      <c r="F3" s="1">
        <v>2038.640452055748</v>
      </c>
      <c r="G3" s="1">
        <v>3908.3979703720042</v>
      </c>
      <c r="H3" s="1">
        <v>4504.7803997169603</v>
      </c>
      <c r="I3" s="1">
        <v>9617.0096245487766</v>
      </c>
      <c r="J3" s="1">
        <v>7752.2158019294757</v>
      </c>
      <c r="K3" s="1">
        <v>7306.4142939005451</v>
      </c>
      <c r="L3" s="1">
        <v>7245</v>
      </c>
      <c r="M3" s="1">
        <v>5798</v>
      </c>
      <c r="N3" s="1">
        <v>8367.3059403244442</v>
      </c>
      <c r="O3" s="1">
        <v>5073.746615599287</v>
      </c>
      <c r="P3" s="1">
        <v>6158</v>
      </c>
      <c r="Q3" s="1">
        <v>3421.9728476514829</v>
      </c>
      <c r="R3" s="1">
        <v>1550.1190221238639</v>
      </c>
      <c r="S3" s="1">
        <v>2888.6870788124197</v>
      </c>
      <c r="T3" s="1">
        <v>3812</v>
      </c>
      <c r="U3" s="1">
        <v>3184</v>
      </c>
      <c r="V3" s="1">
        <v>5108</v>
      </c>
      <c r="W3" s="1">
        <v>5886</v>
      </c>
      <c r="X3" s="29">
        <v>1900</v>
      </c>
    </row>
    <row r="4" spans="1:24" x14ac:dyDescent="0.25">
      <c r="A4" s="20" t="s">
        <v>109</v>
      </c>
      <c r="B4" s="27">
        <f t="shared" si="0"/>
        <v>-0.11213626592130427</v>
      </c>
      <c r="C4" s="50">
        <v>-10965.54747814624</v>
      </c>
      <c r="D4" s="1">
        <v>-13219.349729593276</v>
      </c>
      <c r="E4" s="114">
        <v>88423.45252185376</v>
      </c>
      <c r="F4" s="1">
        <v>99591.242583646686</v>
      </c>
      <c r="G4" s="1">
        <v>96732.293732694292</v>
      </c>
      <c r="H4" s="1">
        <v>74066.942518102165</v>
      </c>
      <c r="I4" s="1">
        <v>119089.77519511461</v>
      </c>
      <c r="J4" s="1">
        <v>74698.151407178157</v>
      </c>
      <c r="K4" s="1">
        <v>142176.13252830142</v>
      </c>
      <c r="L4" s="1">
        <v>102269</v>
      </c>
      <c r="M4" s="1">
        <v>100099</v>
      </c>
      <c r="N4" s="1">
        <v>124579.16757705814</v>
      </c>
      <c r="O4" s="1">
        <v>94266.34393312769</v>
      </c>
      <c r="P4" s="1">
        <v>117254</v>
      </c>
      <c r="Q4" s="1">
        <v>98852.514301473522</v>
      </c>
      <c r="R4" s="1">
        <v>68682.757728453158</v>
      </c>
      <c r="S4" s="1">
        <v>115920.59519996888</v>
      </c>
      <c r="T4" s="1">
        <v>116237</v>
      </c>
      <c r="U4" s="1">
        <v>87665</v>
      </c>
      <c r="V4" s="1">
        <v>113354.00214361939</v>
      </c>
      <c r="W4" s="1">
        <v>97633</v>
      </c>
      <c r="X4" s="29">
        <v>88500</v>
      </c>
    </row>
    <row r="5" spans="1:24" x14ac:dyDescent="0.25">
      <c r="A5" s="20" t="s">
        <v>17</v>
      </c>
      <c r="B5" s="27">
        <f t="shared" si="0"/>
        <v>2.778309184880895E-2</v>
      </c>
      <c r="C5" s="50">
        <v>-2528.6930878619969</v>
      </c>
      <c r="D5" s="1">
        <v>-2441.9458243997615</v>
      </c>
      <c r="E5" s="114">
        <v>21147.306912138003</v>
      </c>
      <c r="F5" s="1">
        <v>20575.651691348176</v>
      </c>
      <c r="G5" s="1">
        <v>17383.440959293119</v>
      </c>
      <c r="H5" s="1">
        <v>13587.935321133362</v>
      </c>
      <c r="I5" s="1">
        <v>22596.557499267488</v>
      </c>
      <c r="J5" s="1">
        <v>14128.387499643224</v>
      </c>
      <c r="K5" s="1">
        <v>20241.332205101025</v>
      </c>
      <c r="L5" s="1">
        <v>17220</v>
      </c>
      <c r="M5" s="1">
        <v>16254</v>
      </c>
      <c r="N5" s="1">
        <v>15176.830595783187</v>
      </c>
      <c r="O5" s="1">
        <v>13142.759769735403</v>
      </c>
      <c r="P5" s="1">
        <v>10848</v>
      </c>
      <c r="Q5" s="1">
        <v>10313.607447848201</v>
      </c>
      <c r="R5" s="1">
        <v>6260.7136989826104</v>
      </c>
      <c r="S5" s="1">
        <v>7958.8716741930111</v>
      </c>
      <c r="T5" s="1">
        <v>4520</v>
      </c>
      <c r="U5" s="1">
        <v>9733</v>
      </c>
      <c r="V5" s="1">
        <v>6039</v>
      </c>
      <c r="W5" s="1">
        <v>4032</v>
      </c>
      <c r="X5" s="29">
        <v>3573</v>
      </c>
    </row>
    <row r="6" spans="1:24" x14ac:dyDescent="0.25">
      <c r="A6" s="20" t="s">
        <v>19</v>
      </c>
      <c r="B6" s="27">
        <f t="shared" si="0"/>
        <v>0.33886329115104574</v>
      </c>
      <c r="C6" s="50">
        <v>-1572.3887873167951</v>
      </c>
      <c r="D6" s="1">
        <v>-1521.5203277540477</v>
      </c>
      <c r="E6" s="114">
        <v>12863.611212683205</v>
      </c>
      <c r="F6" s="1">
        <v>9607.8601136521702</v>
      </c>
      <c r="G6" s="1">
        <v>10671.820383544742</v>
      </c>
      <c r="H6" s="1">
        <v>9589.4220461820842</v>
      </c>
      <c r="I6" s="1">
        <v>16488.987487278962</v>
      </c>
      <c r="J6" s="1">
        <v>10294.447339752534</v>
      </c>
      <c r="K6" s="1">
        <v>15897.209427820344</v>
      </c>
      <c r="L6" s="1">
        <v>14665</v>
      </c>
      <c r="M6" s="1">
        <v>12825</v>
      </c>
      <c r="N6" s="1">
        <v>11962.167183533493</v>
      </c>
      <c r="O6" s="84">
        <v>13488.135315638525</v>
      </c>
      <c r="P6" s="84">
        <v>10731</v>
      </c>
      <c r="Q6" s="84">
        <v>8568.9128360629802</v>
      </c>
      <c r="R6" s="84">
        <v>5136.3819426294031</v>
      </c>
      <c r="S6" s="84">
        <v>10679.249443322886</v>
      </c>
      <c r="T6" s="84">
        <v>11784</v>
      </c>
      <c r="U6" s="84">
        <v>9721</v>
      </c>
      <c r="V6" s="84">
        <v>20688.424780673595</v>
      </c>
      <c r="W6" s="1">
        <v>14974</v>
      </c>
      <c r="X6" s="29">
        <v>6000</v>
      </c>
    </row>
    <row r="7" spans="1:24" ht="13.8" thickBot="1" x14ac:dyDescent="0.3">
      <c r="A7" s="21" t="s">
        <v>58</v>
      </c>
      <c r="B7" s="27">
        <f t="shared" si="0"/>
        <v>0.11861175084355416</v>
      </c>
      <c r="C7" s="50">
        <v>-2858.7200000000012</v>
      </c>
      <c r="D7" s="1">
        <v>-2972</v>
      </c>
      <c r="E7" s="114">
        <v>27151.279999999999</v>
      </c>
      <c r="F7" s="1">
        <v>24272.3</v>
      </c>
      <c r="G7" s="1">
        <v>20515.599999999999</v>
      </c>
      <c r="H7" s="1">
        <v>15646.5</v>
      </c>
      <c r="I7" s="1">
        <v>17592.02</v>
      </c>
      <c r="J7" s="1">
        <v>16057.75</v>
      </c>
      <c r="K7" s="1">
        <v>18921.73</v>
      </c>
      <c r="L7" s="1">
        <v>10684</v>
      </c>
      <c r="M7" s="1">
        <v>10720</v>
      </c>
      <c r="N7" s="84">
        <v>9437.25</v>
      </c>
      <c r="O7" s="84">
        <v>8493.24</v>
      </c>
      <c r="P7" s="84">
        <v>8613</v>
      </c>
      <c r="Q7" s="84">
        <v>8499.1180000000004</v>
      </c>
      <c r="R7" s="84">
        <v>5722.43</v>
      </c>
      <c r="S7" s="84">
        <v>9225.5400000000009</v>
      </c>
      <c r="T7" s="84">
        <v>6973</v>
      </c>
      <c r="U7" s="84">
        <v>6258.49</v>
      </c>
      <c r="V7" s="84">
        <v>7214</v>
      </c>
      <c r="W7" s="1">
        <v>5392</v>
      </c>
      <c r="X7" s="29">
        <v>14707</v>
      </c>
    </row>
    <row r="8" spans="1:24" ht="13.8" thickBot="1" x14ac:dyDescent="0.3">
      <c r="A8" s="23" t="s">
        <v>22</v>
      </c>
      <c r="B8" s="106">
        <f t="shared" si="0"/>
        <v>-2.5690076673503492E-2</v>
      </c>
      <c r="C8" s="74">
        <v>-25267.562230371695</v>
      </c>
      <c r="D8" s="46">
        <v>-29365.696743338805</v>
      </c>
      <c r="E8" s="45">
        <f t="shared" ref="E8" si="1">SUM(E2:E7)</f>
        <v>168216.4377696283</v>
      </c>
      <c r="F8" s="46">
        <f t="shared" ref="F8:L8" si="2">SUM(F2:F7)</f>
        <v>172651.8777467671</v>
      </c>
      <c r="G8" s="46">
        <f t="shared" si="2"/>
        <v>160669.64642706327</v>
      </c>
      <c r="H8" s="46">
        <f t="shared" si="2"/>
        <v>131460.00600870076</v>
      </c>
      <c r="I8" s="46">
        <f t="shared" si="2"/>
        <v>202108.05120452872</v>
      </c>
      <c r="J8" s="46">
        <f t="shared" si="2"/>
        <v>138743.85356012208</v>
      </c>
      <c r="K8" s="46">
        <f t="shared" si="2"/>
        <v>224870.2848243257</v>
      </c>
      <c r="L8" s="46">
        <f t="shared" si="2"/>
        <v>172318</v>
      </c>
      <c r="M8" s="46">
        <f t="shared" ref="M8:R8" si="3">SUM(M2:M7)</f>
        <v>160066</v>
      </c>
      <c r="N8" s="46">
        <f t="shared" si="3"/>
        <v>188663.23180120008</v>
      </c>
      <c r="O8" s="46">
        <f t="shared" si="3"/>
        <v>150151.59913891964</v>
      </c>
      <c r="P8" s="46">
        <f t="shared" si="3"/>
        <v>165820</v>
      </c>
      <c r="Q8" s="46">
        <f t="shared" si="3"/>
        <v>144371.52550045299</v>
      </c>
      <c r="R8" s="46">
        <f t="shared" si="3"/>
        <v>93982.480972121703</v>
      </c>
      <c r="S8" s="46">
        <f t="shared" ref="S8:X8" si="4">SUM(S2:S7)</f>
        <v>157737.17950279795</v>
      </c>
      <c r="T8" s="46">
        <f t="shared" si="4"/>
        <v>154599</v>
      </c>
      <c r="U8" s="46">
        <f t="shared" si="4"/>
        <v>125802.49</v>
      </c>
      <c r="V8" s="46">
        <f t="shared" si="4"/>
        <v>163889.42692429299</v>
      </c>
      <c r="W8" s="46">
        <f t="shared" si="4"/>
        <v>139734</v>
      </c>
      <c r="X8" s="97">
        <f t="shared" si="4"/>
        <v>119298</v>
      </c>
    </row>
    <row r="9" spans="1:24" x14ac:dyDescent="0.25"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</row>
    <row r="10" spans="1:24" ht="13.8" thickBot="1" x14ac:dyDescent="0.3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</row>
    <row r="11" spans="1:24" ht="13.8" thickBot="1" x14ac:dyDescent="0.3">
      <c r="A11" s="23" t="s">
        <v>24</v>
      </c>
      <c r="B11" s="24" t="s">
        <v>172</v>
      </c>
      <c r="C11" s="49" t="s">
        <v>179</v>
      </c>
      <c r="D11" s="83" t="s">
        <v>173</v>
      </c>
      <c r="E11" s="159">
        <v>46054</v>
      </c>
      <c r="F11" s="86">
        <v>45689</v>
      </c>
      <c r="G11" s="86">
        <v>45323</v>
      </c>
      <c r="H11" s="86">
        <v>44958</v>
      </c>
      <c r="I11" s="86">
        <v>44593</v>
      </c>
      <c r="J11" s="86">
        <v>44228</v>
      </c>
      <c r="K11" s="86">
        <v>43862</v>
      </c>
      <c r="L11" s="86">
        <v>43497</v>
      </c>
      <c r="M11" s="86">
        <v>43132</v>
      </c>
      <c r="N11" s="25">
        <v>42767</v>
      </c>
      <c r="O11" s="25">
        <v>42401</v>
      </c>
      <c r="P11" s="25">
        <v>42036</v>
      </c>
      <c r="Q11" s="25">
        <v>41671</v>
      </c>
      <c r="R11" s="25">
        <v>41306</v>
      </c>
      <c r="S11" s="25">
        <v>40940</v>
      </c>
      <c r="T11" s="25">
        <v>40575</v>
      </c>
      <c r="U11" s="25">
        <v>40210</v>
      </c>
      <c r="V11" s="25">
        <v>39845</v>
      </c>
      <c r="W11" s="25">
        <v>39479</v>
      </c>
      <c r="X11" s="26">
        <v>39114</v>
      </c>
    </row>
    <row r="12" spans="1:24" x14ac:dyDescent="0.25">
      <c r="A12" s="20" t="s">
        <v>37</v>
      </c>
      <c r="B12" s="27">
        <f t="shared" ref="B12:B17" si="5">IFERROR(((E12-F12)/F12),"")</f>
        <v>1.4897657397010855</v>
      </c>
      <c r="C12" s="50">
        <v>-454.12154316612987</v>
      </c>
      <c r="D12" s="1">
        <v>-293.00716884341387</v>
      </c>
      <c r="E12" s="114">
        <v>1425.8784568338701</v>
      </c>
      <c r="F12" s="1">
        <v>572.69583001212686</v>
      </c>
      <c r="G12" s="1">
        <v>731.31307775793175</v>
      </c>
      <c r="H12" s="1">
        <v>900.49523316771069</v>
      </c>
      <c r="I12" s="1">
        <v>1474.2631706152256</v>
      </c>
      <c r="J12" s="1">
        <v>2710.024349114055</v>
      </c>
      <c r="K12" s="1">
        <v>2997.0837428028076</v>
      </c>
      <c r="L12" s="1">
        <v>2374</v>
      </c>
      <c r="M12" s="1">
        <v>3102</v>
      </c>
      <c r="N12" s="1">
        <v>3111.9327151024918</v>
      </c>
      <c r="O12" s="1">
        <v>1770.9265524239313</v>
      </c>
      <c r="P12" s="1">
        <v>2541</v>
      </c>
      <c r="Q12" s="1">
        <v>5760.6791444436467</v>
      </c>
      <c r="R12" s="1">
        <v>1924.3024921565961</v>
      </c>
      <c r="S12" s="1">
        <v>6723</v>
      </c>
      <c r="T12" s="1">
        <v>5242</v>
      </c>
      <c r="U12" s="1">
        <v>4593</v>
      </c>
      <c r="V12" s="1">
        <v>2698</v>
      </c>
      <c r="W12" s="1">
        <v>4454</v>
      </c>
      <c r="X12" s="29">
        <v>7383</v>
      </c>
    </row>
    <row r="13" spans="1:24" x14ac:dyDescent="0.25">
      <c r="A13" s="20" t="s">
        <v>38</v>
      </c>
      <c r="B13" s="27">
        <f t="shared" si="5"/>
        <v>0.19596253079694173</v>
      </c>
      <c r="C13" s="50">
        <v>-697.9654554838753</v>
      </c>
      <c r="D13" s="1">
        <v>-447.94984403718104</v>
      </c>
      <c r="E13" s="114">
        <v>2439.0345445161247</v>
      </c>
      <c r="F13" s="1">
        <v>2039.3904338214086</v>
      </c>
      <c r="G13" s="1">
        <v>1338.9677623677039</v>
      </c>
      <c r="H13" s="1">
        <v>2508.4391177812981</v>
      </c>
      <c r="I13" s="1">
        <v>1620.0155005213901</v>
      </c>
      <c r="J13" s="1">
        <v>4970.6888468517564</v>
      </c>
      <c r="K13" s="1">
        <v>4010.653790070754</v>
      </c>
      <c r="L13" s="1">
        <v>5350</v>
      </c>
      <c r="M13" s="1">
        <v>7261</v>
      </c>
      <c r="N13" s="1">
        <v>7558.1259576407947</v>
      </c>
      <c r="O13" s="1">
        <v>5909.934671607798</v>
      </c>
      <c r="P13" s="1">
        <v>10281</v>
      </c>
      <c r="Q13" s="1">
        <v>9160.9315247463619</v>
      </c>
      <c r="R13" s="1">
        <v>6549.2053527568451</v>
      </c>
      <c r="S13" s="1">
        <v>11992</v>
      </c>
      <c r="T13" s="1">
        <v>18326</v>
      </c>
      <c r="U13" s="1">
        <v>15384</v>
      </c>
      <c r="V13" s="1">
        <v>10153</v>
      </c>
      <c r="W13" s="1">
        <v>25911</v>
      </c>
      <c r="X13" s="29">
        <v>19620</v>
      </c>
    </row>
    <row r="14" spans="1:24" x14ac:dyDescent="0.25">
      <c r="A14" s="20" t="s">
        <v>7</v>
      </c>
      <c r="B14" s="27">
        <f t="shared" si="5"/>
        <v>0.49067199117380961</v>
      </c>
      <c r="C14" s="50">
        <v>-4585.7926005294357</v>
      </c>
      <c r="D14" s="1">
        <v>-4666.9745974945945</v>
      </c>
      <c r="E14" s="114">
        <v>27243.207399470564</v>
      </c>
      <c r="F14" s="1">
        <v>18275.789416300944</v>
      </c>
      <c r="G14" s="1">
        <v>38750.154908559707</v>
      </c>
      <c r="H14" s="1">
        <v>28679.291791746349</v>
      </c>
      <c r="I14" s="1">
        <v>44571.951430208333</v>
      </c>
      <c r="J14" s="1">
        <v>41066.33996900604</v>
      </c>
      <c r="K14" s="1">
        <v>43326.557070700874</v>
      </c>
      <c r="L14" s="1">
        <v>43076</v>
      </c>
      <c r="M14" s="1">
        <v>46637</v>
      </c>
      <c r="N14" s="1">
        <v>37517.855039232556</v>
      </c>
      <c r="O14" s="1">
        <v>40944.924339277903</v>
      </c>
      <c r="P14" s="1">
        <v>48046</v>
      </c>
      <c r="Q14" s="1">
        <v>58250.015176259891</v>
      </c>
      <c r="R14" s="1">
        <v>33556.932007980751</v>
      </c>
      <c r="S14" s="1">
        <v>70958</v>
      </c>
      <c r="T14" s="1">
        <v>65750</v>
      </c>
      <c r="U14" s="1">
        <v>42352</v>
      </c>
      <c r="V14" s="1">
        <v>55913</v>
      </c>
      <c r="W14" s="1">
        <v>35720</v>
      </c>
      <c r="X14" s="29">
        <v>46450</v>
      </c>
    </row>
    <row r="15" spans="1:24" x14ac:dyDescent="0.25">
      <c r="A15" s="20" t="s">
        <v>110</v>
      </c>
      <c r="B15" s="27" t="str">
        <f t="shared" si="5"/>
        <v/>
      </c>
      <c r="C15" s="50">
        <v>-138.44</v>
      </c>
      <c r="D15" s="1">
        <v>-19.8</v>
      </c>
      <c r="E15" s="114">
        <v>43.56</v>
      </c>
      <c r="F15" s="1">
        <v>0</v>
      </c>
      <c r="G15" s="1"/>
      <c r="H15" s="1"/>
      <c r="I15" s="1"/>
      <c r="J15" s="1"/>
      <c r="K15" s="1">
        <v>1</v>
      </c>
      <c r="L15" s="1">
        <v>0</v>
      </c>
      <c r="M15" s="1">
        <v>0</v>
      </c>
      <c r="N15" s="1">
        <v>0</v>
      </c>
      <c r="O15" s="1">
        <v>0</v>
      </c>
      <c r="P15" s="1">
        <v>19.72</v>
      </c>
      <c r="Q15" s="1">
        <v>283.68</v>
      </c>
      <c r="R15" s="1">
        <v>0</v>
      </c>
      <c r="S15" s="1">
        <v>0</v>
      </c>
      <c r="T15" s="1">
        <v>17</v>
      </c>
      <c r="U15" s="1">
        <v>0</v>
      </c>
      <c r="V15" s="1">
        <v>0</v>
      </c>
      <c r="W15" s="1">
        <v>21</v>
      </c>
      <c r="X15" s="29">
        <v>0</v>
      </c>
    </row>
    <row r="16" spans="1:24" ht="13.8" thickBot="1" x14ac:dyDescent="0.3">
      <c r="A16" s="20" t="s">
        <v>58</v>
      </c>
      <c r="B16" s="27">
        <f t="shared" si="5"/>
        <v>-2.628125162654504E-2</v>
      </c>
      <c r="C16" s="50">
        <v>-2055.3189196509829</v>
      </c>
      <c r="D16" s="1">
        <v>-785.16910945490167</v>
      </c>
      <c r="E16" s="114">
        <v>1287.6810803490173</v>
      </c>
      <c r="F16" s="10">
        <v>1322.4363631695699</v>
      </c>
      <c r="G16" s="10">
        <v>1252.6144624221313</v>
      </c>
      <c r="H16" s="10">
        <v>950.55815703976941</v>
      </c>
      <c r="I16" s="10">
        <v>763.00343606351646</v>
      </c>
      <c r="J16" s="10">
        <v>1865.1645216328097</v>
      </c>
      <c r="K16" s="10">
        <v>2479.6490999469734</v>
      </c>
      <c r="L16" s="10">
        <v>2435</v>
      </c>
      <c r="M16" s="10">
        <v>2778</v>
      </c>
      <c r="N16" s="10">
        <v>2678.3533584725342</v>
      </c>
      <c r="O16" s="10">
        <v>2465.8249724069346</v>
      </c>
      <c r="P16" s="10">
        <v>1766</v>
      </c>
      <c r="Q16" s="10">
        <v>4195.7336429749594</v>
      </c>
      <c r="R16" s="10">
        <v>1588.5052527979622</v>
      </c>
      <c r="S16" s="10">
        <v>6600</v>
      </c>
      <c r="T16" s="10">
        <v>4179</v>
      </c>
      <c r="U16" s="10">
        <v>3285</v>
      </c>
      <c r="V16" s="10">
        <v>3756</v>
      </c>
      <c r="W16" s="10">
        <v>5276</v>
      </c>
      <c r="X16" s="31">
        <v>5766</v>
      </c>
    </row>
    <row r="17" spans="1:25" ht="13.8" thickBot="1" x14ac:dyDescent="0.3">
      <c r="A17" s="23" t="s">
        <v>22</v>
      </c>
      <c r="B17" s="106">
        <f t="shared" si="5"/>
        <v>0.46055406236173879</v>
      </c>
      <c r="C17" s="74">
        <v>-7931.6385188304193</v>
      </c>
      <c r="D17" s="46">
        <v>-6212.9007198300933</v>
      </c>
      <c r="E17" s="45">
        <f t="shared" ref="E17" si="6">SUM(E12:E16)</f>
        <v>32439.361481169581</v>
      </c>
      <c r="F17" s="34">
        <f t="shared" ref="F17:L17" si="7">SUM(F12:F16)</f>
        <v>22210.312043304049</v>
      </c>
      <c r="G17" s="34">
        <f t="shared" si="7"/>
        <v>42073.050211107475</v>
      </c>
      <c r="H17" s="34">
        <f t="shared" si="7"/>
        <v>33038.784299735125</v>
      </c>
      <c r="I17" s="34">
        <f t="shared" si="7"/>
        <v>48429.233537408465</v>
      </c>
      <c r="J17" s="34">
        <f t="shared" si="7"/>
        <v>50612.217686604658</v>
      </c>
      <c r="K17" s="34">
        <f t="shared" si="7"/>
        <v>52814.943703521414</v>
      </c>
      <c r="L17" s="34">
        <f t="shared" si="7"/>
        <v>53235</v>
      </c>
      <c r="M17" s="34">
        <f t="shared" ref="M17:R17" si="8">SUM(M12:M16)</f>
        <v>59778</v>
      </c>
      <c r="N17" s="34">
        <f t="shared" si="8"/>
        <v>50866.267070448375</v>
      </c>
      <c r="O17" s="34">
        <f t="shared" si="8"/>
        <v>51091.610535716565</v>
      </c>
      <c r="P17" s="34">
        <f t="shared" si="8"/>
        <v>62653.72</v>
      </c>
      <c r="Q17" s="34">
        <f t="shared" si="8"/>
        <v>77651.039488424853</v>
      </c>
      <c r="R17" s="34">
        <f t="shared" si="8"/>
        <v>43618.945105692161</v>
      </c>
      <c r="S17" s="34">
        <f t="shared" ref="S17:X17" si="9">SUM(S12:S16)</f>
        <v>96273</v>
      </c>
      <c r="T17" s="34">
        <f t="shared" si="9"/>
        <v>93514</v>
      </c>
      <c r="U17" s="34">
        <f t="shared" si="9"/>
        <v>65614</v>
      </c>
      <c r="V17" s="34">
        <f t="shared" si="9"/>
        <v>72520</v>
      </c>
      <c r="W17" s="34">
        <f t="shared" si="9"/>
        <v>71382</v>
      </c>
      <c r="X17" s="35">
        <f t="shared" si="9"/>
        <v>79219</v>
      </c>
    </row>
    <row r="24" spans="1:25" ht="17.399999999999999" x14ac:dyDescent="0.3">
      <c r="W24" s="5"/>
      <c r="X24" s="1"/>
      <c r="Y24" s="1"/>
    </row>
    <row r="25" spans="1:25" ht="17.399999999999999" x14ac:dyDescent="0.3">
      <c r="W25" s="5"/>
      <c r="X25" s="1"/>
      <c r="Y25" s="1"/>
    </row>
    <row r="26" spans="1:25" ht="17.399999999999999" x14ac:dyDescent="0.3">
      <c r="W26" s="5"/>
      <c r="X26" s="1"/>
      <c r="Y26" s="1"/>
    </row>
    <row r="27" spans="1:25" ht="17.399999999999999" x14ac:dyDescent="0.3">
      <c r="W27" s="5"/>
      <c r="X27" s="1"/>
      <c r="Y27" s="1"/>
    </row>
    <row r="28" spans="1:25" ht="17.399999999999999" x14ac:dyDescent="0.3">
      <c r="W28" s="5"/>
      <c r="X28" s="1"/>
      <c r="Y28" s="1"/>
    </row>
    <row r="29" spans="1:25" ht="17.399999999999999" x14ac:dyDescent="0.3">
      <c r="W29" s="5"/>
      <c r="X29" s="1"/>
      <c r="Y29" s="1"/>
    </row>
    <row r="30" spans="1:25" ht="17.399999999999999" x14ac:dyDescent="0.3">
      <c r="W30" s="5"/>
      <c r="X30" s="1"/>
      <c r="Y30" s="1"/>
    </row>
    <row r="31" spans="1:25" ht="17.399999999999999" x14ac:dyDescent="0.3">
      <c r="W31" s="5"/>
      <c r="X31" s="1"/>
      <c r="Y31" s="1"/>
    </row>
    <row r="32" spans="1:25" ht="17.399999999999999" x14ac:dyDescent="0.3">
      <c r="W32" s="5"/>
      <c r="X32" s="1"/>
      <c r="Y32" s="1"/>
    </row>
    <row r="33" spans="23:25" ht="17.399999999999999" x14ac:dyDescent="0.3">
      <c r="W33" s="5"/>
      <c r="X33" s="1"/>
      <c r="Y33" s="1"/>
    </row>
    <row r="34" spans="23:25" ht="17.399999999999999" x14ac:dyDescent="0.3">
      <c r="W34" s="6"/>
      <c r="X34" s="1"/>
      <c r="Y34" s="1"/>
    </row>
    <row r="35" spans="23:25" ht="18" x14ac:dyDescent="0.35">
      <c r="W35" s="7"/>
      <c r="X35" s="2"/>
      <c r="Y35" s="2"/>
    </row>
  </sheetData>
  <conditionalFormatting sqref="E1">
    <cfRule type="expression" dxfId="7" priority="3">
      <formula>ISBLANK(XFD1)=FALSE</formula>
    </cfRule>
  </conditionalFormatting>
  <conditionalFormatting sqref="E11">
    <cfRule type="expression" dxfId="6" priority="1">
      <formula>ISBLANK(XFD11)=FALSE</formula>
    </cfRule>
  </conditionalFormatting>
  <pageMargins left="0.75" right="0.75" top="1" bottom="1" header="0.5" footer="0.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Y46"/>
  <sheetViews>
    <sheetView zoomScaleNormal="100" workbookViewId="0"/>
  </sheetViews>
  <sheetFormatPr defaultColWidth="9.109375" defaultRowHeight="13.2" x14ac:dyDescent="0.25"/>
  <cols>
    <col min="1" max="1" width="21.6640625" customWidth="1"/>
    <col min="2" max="2" width="10.6640625" customWidth="1"/>
    <col min="3" max="3" width="11.6640625" bestFit="1" customWidth="1"/>
    <col min="4" max="4" width="11.33203125" bestFit="1" customWidth="1"/>
    <col min="5" max="5" width="11.33203125" customWidth="1"/>
    <col min="6" max="13" width="12" customWidth="1"/>
    <col min="14" max="24" width="10.109375" bestFit="1" customWidth="1"/>
  </cols>
  <sheetData>
    <row r="1" spans="1:24" ht="13.8" thickBot="1" x14ac:dyDescent="0.3">
      <c r="A1" s="39" t="s">
        <v>89</v>
      </c>
      <c r="B1" s="24" t="s">
        <v>172</v>
      </c>
      <c r="C1" s="49" t="s">
        <v>179</v>
      </c>
      <c r="D1" s="83" t="s">
        <v>173</v>
      </c>
      <c r="E1" s="159">
        <v>46054</v>
      </c>
      <c r="F1" s="86">
        <v>45689</v>
      </c>
      <c r="G1" s="86">
        <v>45323</v>
      </c>
      <c r="H1" s="86">
        <v>44958</v>
      </c>
      <c r="I1" s="86">
        <v>44593</v>
      </c>
      <c r="J1" s="86">
        <v>44228</v>
      </c>
      <c r="K1" s="86">
        <v>43862</v>
      </c>
      <c r="L1" s="86">
        <v>43497</v>
      </c>
      <c r="M1" s="86">
        <v>43132</v>
      </c>
      <c r="N1" s="25">
        <v>42767</v>
      </c>
      <c r="O1" s="25">
        <v>42401</v>
      </c>
      <c r="P1" s="25">
        <v>42036</v>
      </c>
      <c r="Q1" s="25">
        <v>41671</v>
      </c>
      <c r="R1" s="25">
        <v>41306</v>
      </c>
      <c r="S1" s="25">
        <v>40940</v>
      </c>
      <c r="T1" s="25">
        <v>40575</v>
      </c>
      <c r="U1" s="25">
        <v>40210</v>
      </c>
      <c r="V1" s="25">
        <v>39845</v>
      </c>
      <c r="W1" s="25">
        <v>39479</v>
      </c>
      <c r="X1" s="26">
        <v>39114</v>
      </c>
    </row>
    <row r="2" spans="1:24" x14ac:dyDescent="0.25">
      <c r="A2" s="20" t="s">
        <v>4</v>
      </c>
      <c r="B2" s="27">
        <f t="shared" ref="B2:B19" si="0">IFERROR(((E2-F2)/F2),"")</f>
        <v>-0.18678815489749431</v>
      </c>
      <c r="C2" s="50">
        <v>-462</v>
      </c>
      <c r="D2" s="1">
        <v>-421</v>
      </c>
      <c r="E2" s="114">
        <v>1071</v>
      </c>
      <c r="F2" s="1">
        <v>1317</v>
      </c>
      <c r="G2" s="1">
        <v>38</v>
      </c>
      <c r="H2" s="1">
        <v>921</v>
      </c>
      <c r="I2" s="1">
        <v>50</v>
      </c>
      <c r="J2" s="1">
        <v>80</v>
      </c>
      <c r="K2" s="1">
        <v>17</v>
      </c>
      <c r="L2" s="1">
        <f>183+43</f>
        <v>226</v>
      </c>
      <c r="M2" s="1">
        <v>3</v>
      </c>
      <c r="N2" s="1">
        <v>118</v>
      </c>
      <c r="O2" s="1">
        <v>5</v>
      </c>
      <c r="P2" s="1">
        <v>27</v>
      </c>
      <c r="Q2" s="1">
        <v>11</v>
      </c>
      <c r="R2" s="1">
        <v>60</v>
      </c>
      <c r="S2" s="1">
        <v>69</v>
      </c>
      <c r="T2" s="1">
        <v>25</v>
      </c>
      <c r="U2" s="1">
        <v>24</v>
      </c>
      <c r="V2" s="1">
        <v>561</v>
      </c>
      <c r="W2" s="1">
        <v>543</v>
      </c>
      <c r="X2" s="29">
        <v>294</v>
      </c>
    </row>
    <row r="3" spans="1:24" x14ac:dyDescent="0.25">
      <c r="A3" s="20" t="s">
        <v>11</v>
      </c>
      <c r="B3" s="27">
        <f t="shared" si="0"/>
        <v>2.3761375126390292E-2</v>
      </c>
      <c r="C3" s="50">
        <v>-979</v>
      </c>
      <c r="D3" s="1">
        <v>-1092</v>
      </c>
      <c r="E3" s="114">
        <v>8100</v>
      </c>
      <c r="F3" s="1">
        <v>7912</v>
      </c>
      <c r="G3" s="1">
        <v>7160</v>
      </c>
      <c r="H3" s="1">
        <v>6760</v>
      </c>
      <c r="I3" s="1">
        <v>6482</v>
      </c>
      <c r="J3" s="1">
        <v>6937</v>
      </c>
      <c r="K3" s="1">
        <v>6224</v>
      </c>
      <c r="L3" s="1">
        <f>8197+253</f>
        <v>8450</v>
      </c>
      <c r="M3" s="1">
        <f>3349+91</f>
        <v>3440</v>
      </c>
      <c r="N3" s="1">
        <v>6913</v>
      </c>
      <c r="O3" s="1">
        <v>7271</v>
      </c>
      <c r="P3" s="1">
        <v>6749</v>
      </c>
      <c r="Q3" s="1">
        <v>7660</v>
      </c>
      <c r="R3" s="1">
        <v>7007</v>
      </c>
      <c r="S3" s="1">
        <v>7068</v>
      </c>
      <c r="T3" s="1">
        <v>6553</v>
      </c>
      <c r="U3" s="1">
        <v>6590</v>
      </c>
      <c r="V3" s="1">
        <v>5171</v>
      </c>
      <c r="W3" s="1">
        <v>4405</v>
      </c>
      <c r="X3" s="29">
        <v>3655</v>
      </c>
    </row>
    <row r="4" spans="1:24" x14ac:dyDescent="0.25">
      <c r="A4" s="20" t="s">
        <v>5</v>
      </c>
      <c r="B4" s="27" t="str">
        <f t="shared" si="0"/>
        <v/>
      </c>
      <c r="C4" s="50">
        <v>0</v>
      </c>
      <c r="D4" s="1">
        <v>-69</v>
      </c>
      <c r="E4" s="114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4</v>
      </c>
      <c r="L4" s="1">
        <v>41</v>
      </c>
      <c r="M4" s="1">
        <v>0</v>
      </c>
      <c r="N4" s="1">
        <v>0</v>
      </c>
      <c r="O4" s="1">
        <v>0</v>
      </c>
      <c r="P4" s="1">
        <v>0</v>
      </c>
      <c r="Q4" s="1">
        <v>1</v>
      </c>
      <c r="R4" s="1">
        <v>0</v>
      </c>
      <c r="S4" s="1">
        <v>50</v>
      </c>
      <c r="T4" s="1">
        <v>0</v>
      </c>
      <c r="U4" s="1">
        <v>0</v>
      </c>
      <c r="V4" s="1">
        <v>15</v>
      </c>
      <c r="W4" s="1">
        <v>0</v>
      </c>
      <c r="X4" s="29">
        <v>1</v>
      </c>
    </row>
    <row r="5" spans="1:24" x14ac:dyDescent="0.25">
      <c r="A5" s="20" t="s">
        <v>2</v>
      </c>
      <c r="B5" s="27" t="str">
        <f t="shared" si="0"/>
        <v/>
      </c>
      <c r="C5" s="50">
        <v>0</v>
      </c>
      <c r="D5" s="1">
        <v>-1</v>
      </c>
      <c r="E5" s="114">
        <v>0</v>
      </c>
      <c r="F5" s="1">
        <v>0</v>
      </c>
      <c r="G5" s="1">
        <v>0</v>
      </c>
      <c r="H5" s="1">
        <v>5</v>
      </c>
      <c r="I5" s="1">
        <v>0</v>
      </c>
      <c r="J5" s="1">
        <v>0</v>
      </c>
      <c r="K5" s="1">
        <v>0</v>
      </c>
      <c r="L5" s="1">
        <f>18+19</f>
        <v>37</v>
      </c>
      <c r="M5" s="1">
        <v>0</v>
      </c>
      <c r="N5" s="1">
        <v>1</v>
      </c>
      <c r="O5" s="1">
        <v>0</v>
      </c>
      <c r="P5" s="1">
        <v>3</v>
      </c>
      <c r="Q5" s="1">
        <v>1</v>
      </c>
      <c r="R5" s="1">
        <v>1</v>
      </c>
      <c r="S5" s="1">
        <v>69</v>
      </c>
      <c r="T5" s="1">
        <v>0</v>
      </c>
      <c r="U5" s="1">
        <v>9</v>
      </c>
      <c r="V5" s="1">
        <v>0</v>
      </c>
      <c r="W5" s="1">
        <v>55</v>
      </c>
      <c r="X5" s="29">
        <v>15</v>
      </c>
    </row>
    <row r="6" spans="1:24" x14ac:dyDescent="0.25">
      <c r="A6" s="20" t="s">
        <v>9</v>
      </c>
      <c r="B6" s="27">
        <f t="shared" si="0"/>
        <v>-8.1008495478213205E-2</v>
      </c>
      <c r="C6" s="50">
        <v>-2899</v>
      </c>
      <c r="D6" s="1">
        <v>-3446</v>
      </c>
      <c r="E6" s="114">
        <v>16767</v>
      </c>
      <c r="F6" s="1">
        <v>18245</v>
      </c>
      <c r="G6" s="1">
        <v>14089</v>
      </c>
      <c r="H6" s="1">
        <v>13641</v>
      </c>
      <c r="I6" s="1">
        <v>17899</v>
      </c>
      <c r="J6" s="1">
        <v>17686</v>
      </c>
      <c r="K6" s="1">
        <v>16618</v>
      </c>
      <c r="L6" s="1">
        <f>16080+974</f>
        <v>17054</v>
      </c>
      <c r="M6" s="1">
        <f>8804+195</f>
        <v>8999</v>
      </c>
      <c r="N6" s="1">
        <v>12188</v>
      </c>
      <c r="O6" s="1">
        <v>14808</v>
      </c>
      <c r="P6" s="1">
        <v>13121</v>
      </c>
      <c r="Q6" s="1">
        <v>14184.2</v>
      </c>
      <c r="R6" s="1">
        <v>12480</v>
      </c>
      <c r="S6" s="1">
        <v>16545</v>
      </c>
      <c r="T6" s="1">
        <v>12968</v>
      </c>
      <c r="U6" s="1">
        <v>14613</v>
      </c>
      <c r="V6" s="1">
        <v>10004</v>
      </c>
      <c r="W6" s="1">
        <v>12537</v>
      </c>
      <c r="X6" s="29">
        <v>9208</v>
      </c>
    </row>
    <row r="7" spans="1:24" x14ac:dyDescent="0.25">
      <c r="A7" s="20" t="s">
        <v>111</v>
      </c>
      <c r="B7" s="27">
        <f t="shared" si="0"/>
        <v>-0.5</v>
      </c>
      <c r="C7" s="50">
        <v>-2</v>
      </c>
      <c r="D7" s="1">
        <v>-1</v>
      </c>
      <c r="E7" s="114">
        <v>27</v>
      </c>
      <c r="F7" s="1">
        <v>54</v>
      </c>
      <c r="G7" s="1">
        <v>12</v>
      </c>
      <c r="H7" s="1">
        <v>39</v>
      </c>
      <c r="I7" s="1">
        <v>50</v>
      </c>
      <c r="J7" s="1">
        <v>57</v>
      </c>
      <c r="K7" s="1">
        <v>48</v>
      </c>
      <c r="L7" s="1">
        <f>79+40</f>
        <v>119</v>
      </c>
      <c r="M7" s="1">
        <v>40</v>
      </c>
      <c r="N7" s="1">
        <v>100</v>
      </c>
      <c r="O7" s="1">
        <v>151</v>
      </c>
      <c r="P7" s="1">
        <v>69</v>
      </c>
      <c r="Q7" s="1">
        <v>170</v>
      </c>
      <c r="R7" s="1">
        <v>177</v>
      </c>
      <c r="S7" s="1">
        <v>150</v>
      </c>
      <c r="T7" s="1">
        <v>513</v>
      </c>
      <c r="U7" s="1">
        <v>291</v>
      </c>
      <c r="V7" s="1">
        <v>617</v>
      </c>
      <c r="W7" s="1">
        <v>472</v>
      </c>
      <c r="X7" s="29">
        <v>628</v>
      </c>
    </row>
    <row r="8" spans="1:24" x14ac:dyDescent="0.25">
      <c r="A8" s="20" t="s">
        <v>3</v>
      </c>
      <c r="B8" s="27">
        <f t="shared" si="0"/>
        <v>-4.8906728636315622E-2</v>
      </c>
      <c r="C8" s="50">
        <v>-941</v>
      </c>
      <c r="D8" s="1">
        <v>-1129</v>
      </c>
      <c r="E8" s="114">
        <v>9004</v>
      </c>
      <c r="F8" s="1">
        <v>9467</v>
      </c>
      <c r="G8" s="1">
        <v>7887</v>
      </c>
      <c r="H8" s="1">
        <v>7982</v>
      </c>
      <c r="I8" s="1">
        <v>9754</v>
      </c>
      <c r="J8" s="1">
        <v>8877</v>
      </c>
      <c r="K8" s="1">
        <v>10201</v>
      </c>
      <c r="L8" s="1">
        <f>8914+121</f>
        <v>9035</v>
      </c>
      <c r="M8" s="1">
        <v>8499</v>
      </c>
      <c r="N8" s="84">
        <v>12813</v>
      </c>
      <c r="O8" s="84">
        <v>10581</v>
      </c>
      <c r="P8" s="84">
        <v>11719</v>
      </c>
      <c r="Q8" s="84">
        <v>10227.200000000001</v>
      </c>
      <c r="R8" s="84">
        <v>13153</v>
      </c>
      <c r="S8" s="84">
        <v>13116</v>
      </c>
      <c r="T8" s="84">
        <v>15213</v>
      </c>
      <c r="U8" s="84">
        <v>16068</v>
      </c>
      <c r="V8" s="84">
        <v>16504</v>
      </c>
      <c r="W8" s="1">
        <v>16924</v>
      </c>
      <c r="X8" s="29">
        <v>17833</v>
      </c>
    </row>
    <row r="9" spans="1:24" x14ac:dyDescent="0.25">
      <c r="A9" s="20" t="s">
        <v>17</v>
      </c>
      <c r="B9" s="27">
        <f t="shared" si="0"/>
        <v>0.30620155038759689</v>
      </c>
      <c r="C9" s="50">
        <v>-149</v>
      </c>
      <c r="D9" s="1">
        <v>-72</v>
      </c>
      <c r="E9" s="114">
        <v>337</v>
      </c>
      <c r="F9" s="1">
        <v>258</v>
      </c>
      <c r="G9" s="1">
        <v>201</v>
      </c>
      <c r="H9" s="1">
        <v>228</v>
      </c>
      <c r="I9" s="1">
        <v>429</v>
      </c>
      <c r="J9" s="1">
        <v>196</v>
      </c>
      <c r="K9" s="1">
        <v>225</v>
      </c>
      <c r="L9" s="1">
        <v>216</v>
      </c>
      <c r="M9" s="1">
        <v>176</v>
      </c>
      <c r="N9" s="84">
        <v>262</v>
      </c>
      <c r="O9" s="84">
        <v>154</v>
      </c>
      <c r="P9" s="84">
        <v>220</v>
      </c>
      <c r="Q9" s="84">
        <v>174</v>
      </c>
      <c r="R9" s="84">
        <v>169</v>
      </c>
      <c r="S9" s="84">
        <v>100</v>
      </c>
      <c r="T9" s="84">
        <v>249</v>
      </c>
      <c r="U9" s="84">
        <v>88</v>
      </c>
      <c r="V9" s="84">
        <v>292</v>
      </c>
      <c r="W9" s="1">
        <v>14</v>
      </c>
      <c r="X9" s="29">
        <v>110</v>
      </c>
    </row>
    <row r="10" spans="1:24" x14ac:dyDescent="0.25">
      <c r="A10" s="20" t="s">
        <v>10</v>
      </c>
      <c r="B10" s="27">
        <f t="shared" si="0"/>
        <v>-0.40468227424749165</v>
      </c>
      <c r="C10" s="50">
        <v>-13</v>
      </c>
      <c r="D10" s="1">
        <v>-39</v>
      </c>
      <c r="E10" s="114">
        <v>178</v>
      </c>
      <c r="F10" s="1">
        <v>299</v>
      </c>
      <c r="G10" s="1">
        <v>185</v>
      </c>
      <c r="H10" s="1">
        <v>348</v>
      </c>
      <c r="I10" s="1">
        <v>373</v>
      </c>
      <c r="J10" s="1">
        <v>472</v>
      </c>
      <c r="K10" s="1">
        <v>252</v>
      </c>
      <c r="L10" s="1">
        <f>282+109</f>
        <v>391</v>
      </c>
      <c r="M10" s="1">
        <v>85</v>
      </c>
      <c r="N10" s="84">
        <v>467</v>
      </c>
      <c r="O10" s="84">
        <v>988</v>
      </c>
      <c r="P10" s="84">
        <v>1050</v>
      </c>
      <c r="Q10" s="84">
        <v>1499</v>
      </c>
      <c r="R10" s="84">
        <v>1497</v>
      </c>
      <c r="S10" s="84">
        <v>935</v>
      </c>
      <c r="T10" s="84">
        <v>2640</v>
      </c>
      <c r="U10" s="84">
        <v>2142</v>
      </c>
      <c r="V10" s="84">
        <v>3037</v>
      </c>
      <c r="W10" s="1">
        <v>1765</v>
      </c>
      <c r="X10" s="29">
        <v>3131</v>
      </c>
    </row>
    <row r="11" spans="1:24" x14ac:dyDescent="0.25">
      <c r="A11" s="20" t="s">
        <v>26</v>
      </c>
      <c r="B11" s="27">
        <f t="shared" si="0"/>
        <v>-1.0712622263623661E-2</v>
      </c>
      <c r="C11" s="50">
        <v>-205</v>
      </c>
      <c r="D11" s="1">
        <v>-275</v>
      </c>
      <c r="E11" s="114">
        <v>2124</v>
      </c>
      <c r="F11" s="1">
        <v>2147</v>
      </c>
      <c r="G11" s="1">
        <v>1052</v>
      </c>
      <c r="H11" s="1">
        <v>1821</v>
      </c>
      <c r="I11" s="1">
        <v>1630</v>
      </c>
      <c r="J11" s="1">
        <v>1252</v>
      </c>
      <c r="K11" s="1">
        <v>2145</v>
      </c>
      <c r="L11" s="1">
        <f>1730+112</f>
        <v>1842</v>
      </c>
      <c r="M11" s="1">
        <v>93</v>
      </c>
      <c r="N11" s="84">
        <v>2853</v>
      </c>
      <c r="O11" s="84">
        <v>2153</v>
      </c>
      <c r="P11" s="84">
        <v>2595</v>
      </c>
      <c r="Q11" s="84">
        <v>2706</v>
      </c>
      <c r="R11" s="84">
        <v>2663</v>
      </c>
      <c r="S11" s="84">
        <v>3134</v>
      </c>
      <c r="T11" s="84">
        <v>2386</v>
      </c>
      <c r="U11" s="84">
        <v>3182</v>
      </c>
      <c r="V11" s="84">
        <v>3303</v>
      </c>
      <c r="W11" s="1">
        <v>3556</v>
      </c>
      <c r="X11" s="29">
        <v>3527</v>
      </c>
    </row>
    <row r="12" spans="1:24" x14ac:dyDescent="0.25">
      <c r="A12" s="20" t="s">
        <v>112</v>
      </c>
      <c r="B12" s="27">
        <f t="shared" si="0"/>
        <v>-0.38414634146341464</v>
      </c>
      <c r="C12" s="50">
        <v>-11</v>
      </c>
      <c r="D12" s="1">
        <v>-19</v>
      </c>
      <c r="E12" s="114">
        <v>101</v>
      </c>
      <c r="F12" s="1">
        <v>164</v>
      </c>
      <c r="G12" s="1">
        <v>0</v>
      </c>
      <c r="H12" s="1">
        <v>59</v>
      </c>
      <c r="I12" s="1">
        <v>52</v>
      </c>
      <c r="J12" s="1">
        <v>146</v>
      </c>
      <c r="K12" s="1">
        <v>0</v>
      </c>
      <c r="L12" s="1">
        <v>237</v>
      </c>
      <c r="M12" s="1">
        <v>0</v>
      </c>
      <c r="N12" s="84">
        <v>142</v>
      </c>
      <c r="O12" s="84">
        <v>95</v>
      </c>
      <c r="P12" s="84">
        <v>174</v>
      </c>
      <c r="Q12" s="84">
        <v>219</v>
      </c>
      <c r="R12" s="84">
        <v>93</v>
      </c>
      <c r="S12" s="84">
        <v>118</v>
      </c>
      <c r="T12" s="84">
        <v>138</v>
      </c>
      <c r="U12" s="84">
        <v>29</v>
      </c>
      <c r="V12" s="84">
        <v>123</v>
      </c>
      <c r="W12" s="1">
        <v>82</v>
      </c>
      <c r="X12" s="29">
        <v>157</v>
      </c>
    </row>
    <row r="13" spans="1:24" x14ac:dyDescent="0.25">
      <c r="A13" s="20" t="s">
        <v>113</v>
      </c>
      <c r="B13" s="27">
        <f t="shared" si="0"/>
        <v>3.1698113207547172</v>
      </c>
      <c r="C13" s="50">
        <v>-20</v>
      </c>
      <c r="D13" s="1">
        <v>-21</v>
      </c>
      <c r="E13" s="114">
        <v>221</v>
      </c>
      <c r="F13" s="1">
        <v>53</v>
      </c>
      <c r="G13" s="1">
        <v>11</v>
      </c>
      <c r="H13" s="1">
        <v>62</v>
      </c>
      <c r="I13" s="1">
        <v>76</v>
      </c>
      <c r="J13" s="1">
        <v>158</v>
      </c>
      <c r="K13" s="1">
        <v>43</v>
      </c>
      <c r="L13" s="1">
        <f>58+295</f>
        <v>353</v>
      </c>
      <c r="M13" s="1">
        <v>116</v>
      </c>
      <c r="N13" s="84">
        <v>223</v>
      </c>
      <c r="O13" s="84">
        <v>515</v>
      </c>
      <c r="P13" s="84">
        <v>727</v>
      </c>
      <c r="Q13" s="84">
        <v>755</v>
      </c>
      <c r="R13" s="84">
        <v>1522</v>
      </c>
      <c r="S13" s="84">
        <v>1869</v>
      </c>
      <c r="T13" s="84">
        <v>3523</v>
      </c>
      <c r="U13" s="84">
        <v>3908</v>
      </c>
      <c r="V13" s="84">
        <v>4172</v>
      </c>
      <c r="W13" s="1">
        <v>5245</v>
      </c>
      <c r="X13" s="29">
        <v>7014</v>
      </c>
    </row>
    <row r="14" spans="1:24" x14ac:dyDescent="0.25">
      <c r="A14" s="20" t="s">
        <v>13</v>
      </c>
      <c r="B14" s="27">
        <f t="shared" si="0"/>
        <v>0.11548556430446194</v>
      </c>
      <c r="C14" s="50">
        <v>-7</v>
      </c>
      <c r="D14" s="1">
        <v>-64</v>
      </c>
      <c r="E14" s="114">
        <v>425</v>
      </c>
      <c r="F14" s="1">
        <v>381</v>
      </c>
      <c r="G14" s="1">
        <v>406</v>
      </c>
      <c r="H14" s="1">
        <v>318</v>
      </c>
      <c r="I14" s="1">
        <v>326</v>
      </c>
      <c r="J14" s="1">
        <v>449</v>
      </c>
      <c r="K14" s="1">
        <v>88</v>
      </c>
      <c r="L14" s="1">
        <f>184+66</f>
        <v>250</v>
      </c>
      <c r="M14" s="1">
        <v>39</v>
      </c>
      <c r="N14" s="84">
        <v>230</v>
      </c>
      <c r="O14" s="84">
        <v>309</v>
      </c>
      <c r="P14" s="84">
        <v>166</v>
      </c>
      <c r="Q14" s="84">
        <v>572.20000000000005</v>
      </c>
      <c r="R14" s="84">
        <v>753</v>
      </c>
      <c r="S14" s="84">
        <v>858</v>
      </c>
      <c r="T14" s="84">
        <v>821</v>
      </c>
      <c r="U14" s="84">
        <v>891</v>
      </c>
      <c r="V14" s="84">
        <v>832</v>
      </c>
      <c r="W14" s="1">
        <v>736</v>
      </c>
      <c r="X14" s="29">
        <v>673</v>
      </c>
    </row>
    <row r="15" spans="1:24" x14ac:dyDescent="0.25">
      <c r="A15" s="20" t="s">
        <v>114</v>
      </c>
      <c r="B15" s="27">
        <f t="shared" si="0"/>
        <v>-0.90909090909090906</v>
      </c>
      <c r="C15" s="50">
        <v>-2</v>
      </c>
      <c r="D15" s="1">
        <v>-10</v>
      </c>
      <c r="E15" s="114">
        <v>1</v>
      </c>
      <c r="F15" s="1">
        <v>11</v>
      </c>
      <c r="G15" s="1">
        <v>2</v>
      </c>
      <c r="H15" s="1">
        <v>7</v>
      </c>
      <c r="I15" s="1">
        <v>0</v>
      </c>
      <c r="J15" s="1">
        <v>49</v>
      </c>
      <c r="K15" s="1">
        <v>0</v>
      </c>
      <c r="L15" s="1">
        <v>28</v>
      </c>
      <c r="M15" s="1">
        <v>0</v>
      </c>
      <c r="N15" s="84">
        <v>0</v>
      </c>
      <c r="O15" s="84">
        <v>1</v>
      </c>
      <c r="P15" s="84">
        <v>9</v>
      </c>
      <c r="Q15" s="84">
        <v>8</v>
      </c>
      <c r="R15" s="84">
        <v>3</v>
      </c>
      <c r="S15" s="84">
        <v>14</v>
      </c>
      <c r="T15" s="84">
        <v>1</v>
      </c>
      <c r="U15" s="84">
        <v>2</v>
      </c>
      <c r="V15" s="84">
        <v>5</v>
      </c>
      <c r="W15" s="1">
        <v>3</v>
      </c>
      <c r="X15" s="29">
        <v>20</v>
      </c>
    </row>
    <row r="16" spans="1:24" x14ac:dyDescent="0.25">
      <c r="A16" s="20" t="s">
        <v>95</v>
      </c>
      <c r="B16" s="27">
        <f t="shared" si="0"/>
        <v>-0.12795549374130738</v>
      </c>
      <c r="C16" s="50">
        <v>-178</v>
      </c>
      <c r="D16" s="1">
        <v>-197</v>
      </c>
      <c r="E16" s="114">
        <v>627</v>
      </c>
      <c r="F16" s="1">
        <v>719</v>
      </c>
      <c r="G16" s="1">
        <v>322</v>
      </c>
      <c r="H16" s="1">
        <v>684</v>
      </c>
      <c r="I16" s="1">
        <v>308</v>
      </c>
      <c r="J16" s="1">
        <v>238</v>
      </c>
      <c r="K16" s="1">
        <v>51</v>
      </c>
      <c r="L16" s="1">
        <f>229+489</f>
        <v>718</v>
      </c>
      <c r="M16" s="1">
        <v>66</v>
      </c>
      <c r="N16" s="84">
        <v>407</v>
      </c>
      <c r="O16" s="84">
        <v>752</v>
      </c>
      <c r="P16" s="84">
        <v>816</v>
      </c>
      <c r="Q16" s="84">
        <v>1084.40000001</v>
      </c>
      <c r="R16" s="84">
        <v>1098</v>
      </c>
      <c r="S16" s="84">
        <v>1411</v>
      </c>
      <c r="T16" s="84">
        <v>1054</v>
      </c>
      <c r="U16" s="84">
        <v>1158</v>
      </c>
      <c r="V16" s="84">
        <v>724</v>
      </c>
      <c r="W16" s="1">
        <v>1098</v>
      </c>
      <c r="X16" s="29">
        <v>894</v>
      </c>
    </row>
    <row r="17" spans="1:24" x14ac:dyDescent="0.25">
      <c r="A17" s="40" t="s">
        <v>85</v>
      </c>
      <c r="B17" s="27">
        <f t="shared" si="0"/>
        <v>0.11666516286204097</v>
      </c>
      <c r="C17" s="50">
        <v>-2104</v>
      </c>
      <c r="D17" s="1">
        <v>-1463</v>
      </c>
      <c r="E17" s="114">
        <v>12376</v>
      </c>
      <c r="F17" s="1">
        <v>11083</v>
      </c>
      <c r="G17" s="1">
        <v>7851</v>
      </c>
      <c r="H17" s="1">
        <v>9660</v>
      </c>
      <c r="I17" s="1">
        <v>10058</v>
      </c>
      <c r="J17" s="1">
        <v>9543</v>
      </c>
      <c r="K17" s="1">
        <v>8718</v>
      </c>
      <c r="L17" s="1">
        <f>11479+204</f>
        <v>11683</v>
      </c>
      <c r="M17" s="1">
        <v>6090</v>
      </c>
      <c r="N17" s="84">
        <v>9185</v>
      </c>
      <c r="O17" s="84">
        <v>7046</v>
      </c>
      <c r="P17" s="84">
        <v>7783</v>
      </c>
      <c r="Q17" s="84">
        <v>9065</v>
      </c>
      <c r="R17" s="84">
        <v>6110</v>
      </c>
      <c r="S17" s="84">
        <v>7231</v>
      </c>
      <c r="T17" s="84">
        <v>3692</v>
      </c>
      <c r="U17" s="84">
        <f>328+400+2870</f>
        <v>3598</v>
      </c>
      <c r="V17" s="84">
        <v>1407</v>
      </c>
      <c r="W17" s="1">
        <v>1063</v>
      </c>
      <c r="X17" s="29">
        <v>419</v>
      </c>
    </row>
    <row r="18" spans="1:24" ht="13.8" thickBot="1" x14ac:dyDescent="0.3">
      <c r="A18" s="22" t="s">
        <v>58</v>
      </c>
      <c r="B18" s="28">
        <f t="shared" si="0"/>
        <v>-0.27991602519244224</v>
      </c>
      <c r="C18" s="51">
        <v>-270</v>
      </c>
      <c r="D18" s="10">
        <v>-506</v>
      </c>
      <c r="E18" s="124">
        <v>3087</v>
      </c>
      <c r="F18" s="10">
        <v>4287</v>
      </c>
      <c r="G18" s="10">
        <v>2566</v>
      </c>
      <c r="H18" s="10">
        <v>3376</v>
      </c>
      <c r="I18" s="10">
        <v>2527</v>
      </c>
      <c r="J18" s="10">
        <v>3179</v>
      </c>
      <c r="K18" s="10">
        <v>2103</v>
      </c>
      <c r="L18" s="10">
        <f>330+594+2342+45+600+38</f>
        <v>3949</v>
      </c>
      <c r="M18" s="10">
        <f>229+412+219+8+356</f>
        <v>1224</v>
      </c>
      <c r="N18" s="85">
        <v>2867</v>
      </c>
      <c r="O18" s="85">
        <v>3436</v>
      </c>
      <c r="P18" s="85">
        <v>3582</v>
      </c>
      <c r="Q18" s="85">
        <v>944</v>
      </c>
      <c r="R18" s="85">
        <v>573</v>
      </c>
      <c r="S18" s="85">
        <v>549</v>
      </c>
      <c r="T18" s="85">
        <v>442</v>
      </c>
      <c r="U18" s="85">
        <v>652</v>
      </c>
      <c r="V18" s="85">
        <v>603</v>
      </c>
      <c r="W18" s="10">
        <v>502</v>
      </c>
      <c r="X18" s="31">
        <v>595</v>
      </c>
    </row>
    <row r="19" spans="1:24" ht="13.8" thickBot="1" x14ac:dyDescent="0.3">
      <c r="A19" s="32" t="s">
        <v>22</v>
      </c>
      <c r="B19" s="33">
        <f t="shared" si="0"/>
        <v>-3.4594038690001244E-2</v>
      </c>
      <c r="C19" s="52">
        <v>-8242</v>
      </c>
      <c r="D19" s="34">
        <v>-8825</v>
      </c>
      <c r="E19" s="104">
        <f>SUM(E2:E18)</f>
        <v>54446</v>
      </c>
      <c r="F19" s="34">
        <f t="shared" ref="F19:L19" si="1">SUM(F2:F18)</f>
        <v>56397</v>
      </c>
      <c r="G19" s="34">
        <f t="shared" si="1"/>
        <v>41782</v>
      </c>
      <c r="H19" s="34">
        <f t="shared" si="1"/>
        <v>45911</v>
      </c>
      <c r="I19" s="34">
        <f t="shared" si="1"/>
        <v>50014</v>
      </c>
      <c r="J19" s="34">
        <f t="shared" si="1"/>
        <v>49319</v>
      </c>
      <c r="K19" s="34">
        <f t="shared" si="1"/>
        <v>46737</v>
      </c>
      <c r="L19" s="34">
        <f t="shared" si="1"/>
        <v>54629</v>
      </c>
      <c r="M19" s="34">
        <f t="shared" ref="M19:R19" si="2">SUM(M2:M18)</f>
        <v>28870</v>
      </c>
      <c r="N19" s="34">
        <f t="shared" si="2"/>
        <v>48769</v>
      </c>
      <c r="O19" s="34">
        <f t="shared" si="2"/>
        <v>48265</v>
      </c>
      <c r="P19" s="34">
        <f t="shared" si="2"/>
        <v>48810</v>
      </c>
      <c r="Q19" s="34">
        <f t="shared" si="2"/>
        <v>49281.000000009997</v>
      </c>
      <c r="R19" s="34">
        <f t="shared" si="2"/>
        <v>47359</v>
      </c>
      <c r="S19" s="34">
        <f t="shared" ref="S19:X19" si="3">SUM(S2:S18)</f>
        <v>53286</v>
      </c>
      <c r="T19" s="34">
        <f t="shared" si="3"/>
        <v>50218</v>
      </c>
      <c r="U19" s="34">
        <f t="shared" si="3"/>
        <v>53245</v>
      </c>
      <c r="V19" s="34">
        <f t="shared" si="3"/>
        <v>47370</v>
      </c>
      <c r="W19" s="34">
        <f t="shared" si="3"/>
        <v>49000</v>
      </c>
      <c r="X19" s="35">
        <f t="shared" si="3"/>
        <v>48174</v>
      </c>
    </row>
    <row r="20" spans="1:24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1:24" ht="13.8" thickBot="1" x14ac:dyDescent="0.3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</row>
    <row r="22" spans="1:24" ht="13.8" thickBot="1" x14ac:dyDescent="0.3">
      <c r="A22" s="23" t="s">
        <v>24</v>
      </c>
      <c r="B22" s="24" t="s">
        <v>172</v>
      </c>
      <c r="C22" s="49" t="s">
        <v>179</v>
      </c>
      <c r="D22" s="83" t="s">
        <v>173</v>
      </c>
      <c r="E22" s="159">
        <v>46054</v>
      </c>
      <c r="F22" s="86">
        <v>45689</v>
      </c>
      <c r="G22" s="86">
        <v>45323</v>
      </c>
      <c r="H22" s="86">
        <v>44958</v>
      </c>
      <c r="I22" s="86">
        <v>44593</v>
      </c>
      <c r="J22" s="86">
        <v>44228</v>
      </c>
      <c r="K22" s="86">
        <v>43862</v>
      </c>
      <c r="L22" s="86">
        <v>43497</v>
      </c>
      <c r="M22" s="86">
        <v>43132</v>
      </c>
      <c r="N22" s="25">
        <v>42767</v>
      </c>
      <c r="O22" s="25">
        <v>42401</v>
      </c>
      <c r="P22" s="25">
        <v>42036</v>
      </c>
      <c r="Q22" s="25">
        <v>41671</v>
      </c>
      <c r="R22" s="25">
        <v>41306</v>
      </c>
      <c r="S22" s="25">
        <v>40940</v>
      </c>
      <c r="T22" s="25">
        <v>40575</v>
      </c>
      <c r="U22" s="25">
        <v>40210</v>
      </c>
      <c r="V22" s="25">
        <v>39845</v>
      </c>
      <c r="W22" s="25">
        <v>39479</v>
      </c>
      <c r="X22" s="26">
        <v>39114</v>
      </c>
    </row>
    <row r="23" spans="1:24" x14ac:dyDescent="0.25">
      <c r="A23" s="20" t="s">
        <v>115</v>
      </c>
      <c r="B23" s="27">
        <f t="shared" ref="B23:B28" si="4">IFERROR(((E23-F23)/F23),"")</f>
        <v>-0.62660944206008584</v>
      </c>
      <c r="C23" s="50">
        <v>-847</v>
      </c>
      <c r="D23" s="1">
        <v>-1068</v>
      </c>
      <c r="E23" s="114">
        <v>1392</v>
      </c>
      <c r="F23" s="1">
        <v>3728</v>
      </c>
      <c r="G23" s="1">
        <v>2404</v>
      </c>
      <c r="H23" s="1">
        <v>2770</v>
      </c>
      <c r="I23" s="1">
        <v>2971</v>
      </c>
      <c r="J23" s="1">
        <v>4080</v>
      </c>
      <c r="K23" s="1">
        <v>4628</v>
      </c>
      <c r="L23" s="1">
        <f>4245+118</f>
        <v>4363</v>
      </c>
      <c r="M23" s="1">
        <v>68</v>
      </c>
      <c r="N23" s="1">
        <v>1871</v>
      </c>
      <c r="O23" s="1">
        <v>2264</v>
      </c>
      <c r="P23" s="1">
        <v>3464</v>
      </c>
      <c r="Q23" s="1">
        <v>2543</v>
      </c>
      <c r="R23" s="1">
        <v>1286</v>
      </c>
      <c r="S23" s="1">
        <v>3376</v>
      </c>
      <c r="T23" s="1">
        <v>1224</v>
      </c>
      <c r="U23" s="1">
        <v>2804</v>
      </c>
      <c r="V23" s="1">
        <v>351</v>
      </c>
      <c r="W23" s="1">
        <v>2811</v>
      </c>
      <c r="X23" s="29">
        <v>1636</v>
      </c>
    </row>
    <row r="24" spans="1:24" x14ac:dyDescent="0.25">
      <c r="A24" s="20" t="s">
        <v>7</v>
      </c>
      <c r="B24" s="27">
        <f t="shared" si="4"/>
        <v>-0.86999244142101284</v>
      </c>
      <c r="C24" s="50">
        <v>-473</v>
      </c>
      <c r="D24" s="1">
        <v>-431</v>
      </c>
      <c r="E24" s="114">
        <v>172</v>
      </c>
      <c r="F24" s="1">
        <v>1323</v>
      </c>
      <c r="G24" s="1">
        <v>5</v>
      </c>
      <c r="H24" s="1">
        <v>383</v>
      </c>
      <c r="I24" s="1">
        <v>49</v>
      </c>
      <c r="J24" s="1">
        <v>576</v>
      </c>
      <c r="K24" s="1">
        <v>1083</v>
      </c>
      <c r="L24" s="1">
        <v>546</v>
      </c>
      <c r="M24" s="1">
        <v>26</v>
      </c>
      <c r="N24" s="1">
        <v>855</v>
      </c>
      <c r="O24" s="1">
        <v>452</v>
      </c>
      <c r="P24" s="1">
        <v>793</v>
      </c>
      <c r="Q24" s="1">
        <v>525</v>
      </c>
      <c r="R24" s="1">
        <v>235</v>
      </c>
      <c r="S24" s="1">
        <v>1960</v>
      </c>
      <c r="T24" s="1">
        <v>118</v>
      </c>
      <c r="U24" s="1">
        <v>1511</v>
      </c>
      <c r="V24" s="1">
        <v>105</v>
      </c>
      <c r="W24" s="1">
        <v>1881</v>
      </c>
      <c r="X24" s="29">
        <v>532</v>
      </c>
    </row>
    <row r="25" spans="1:24" x14ac:dyDescent="0.25">
      <c r="A25" s="20" t="s">
        <v>116</v>
      </c>
      <c r="B25" s="27">
        <f t="shared" si="4"/>
        <v>-0.90198237885462551</v>
      </c>
      <c r="C25" s="50">
        <v>-242</v>
      </c>
      <c r="D25" s="1">
        <v>-384</v>
      </c>
      <c r="E25" s="114">
        <v>89</v>
      </c>
      <c r="F25" s="1">
        <v>908</v>
      </c>
      <c r="G25" s="1">
        <v>18</v>
      </c>
      <c r="H25" s="1">
        <v>417</v>
      </c>
      <c r="I25" s="1">
        <v>186</v>
      </c>
      <c r="J25" s="1">
        <v>815</v>
      </c>
      <c r="K25" s="1">
        <v>532</v>
      </c>
      <c r="L25" s="1">
        <f>796+133</f>
        <v>929</v>
      </c>
      <c r="M25" s="1">
        <v>34</v>
      </c>
      <c r="N25" s="1">
        <v>977</v>
      </c>
      <c r="O25" s="1">
        <v>1043</v>
      </c>
      <c r="P25" s="1">
        <v>969</v>
      </c>
      <c r="Q25" s="1">
        <v>992</v>
      </c>
      <c r="R25" s="1">
        <v>494</v>
      </c>
      <c r="S25" s="1">
        <v>1857</v>
      </c>
      <c r="T25" s="1">
        <v>157</v>
      </c>
      <c r="U25" s="1">
        <v>2071</v>
      </c>
      <c r="V25" s="1">
        <v>22</v>
      </c>
      <c r="W25" s="1">
        <v>2359</v>
      </c>
      <c r="X25" s="29">
        <v>340</v>
      </c>
    </row>
    <row r="26" spans="1:24" x14ac:dyDescent="0.25">
      <c r="A26" s="20" t="s">
        <v>140</v>
      </c>
      <c r="B26" s="27">
        <f t="shared" si="4"/>
        <v>-1</v>
      </c>
      <c r="C26" s="50">
        <v>-1</v>
      </c>
      <c r="D26" s="1">
        <v>-67</v>
      </c>
      <c r="E26" s="114">
        <v>0</v>
      </c>
      <c r="F26" s="1">
        <v>4</v>
      </c>
      <c r="G26" s="1">
        <v>0</v>
      </c>
      <c r="H26" s="1">
        <v>0</v>
      </c>
      <c r="I26" s="1">
        <v>0</v>
      </c>
      <c r="J26" s="1">
        <v>0</v>
      </c>
      <c r="K26" s="1">
        <v>25</v>
      </c>
      <c r="L26" s="1">
        <v>71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/>
      <c r="S26" s="1"/>
      <c r="T26" s="1"/>
      <c r="U26" s="1"/>
      <c r="V26" s="1"/>
      <c r="W26" s="1"/>
      <c r="X26" s="29"/>
    </row>
    <row r="27" spans="1:24" ht="13.8" thickBot="1" x14ac:dyDescent="0.3">
      <c r="A27" s="30" t="s">
        <v>58</v>
      </c>
      <c r="B27" s="28">
        <f t="shared" si="4"/>
        <v>-0.22580645161290322</v>
      </c>
      <c r="C27" s="51">
        <v>-394</v>
      </c>
      <c r="D27" s="10">
        <v>-296</v>
      </c>
      <c r="E27" s="124">
        <v>408</v>
      </c>
      <c r="F27" s="10">
        <v>527</v>
      </c>
      <c r="G27" s="10">
        <v>266</v>
      </c>
      <c r="H27" s="10">
        <v>385</v>
      </c>
      <c r="I27" s="10">
        <v>194</v>
      </c>
      <c r="J27" s="10">
        <v>333</v>
      </c>
      <c r="K27" s="10">
        <v>252</v>
      </c>
      <c r="L27" s="10">
        <f>269+44</f>
        <v>313</v>
      </c>
      <c r="M27" s="10">
        <v>17</v>
      </c>
      <c r="N27" s="10">
        <v>135</v>
      </c>
      <c r="O27" s="10">
        <v>120</v>
      </c>
      <c r="P27" s="10">
        <v>280</v>
      </c>
      <c r="Q27" s="10">
        <v>141</v>
      </c>
      <c r="R27" s="10">
        <v>35</v>
      </c>
      <c r="S27" s="10">
        <v>199</v>
      </c>
      <c r="T27" s="10">
        <v>58</v>
      </c>
      <c r="U27" s="10">
        <v>156</v>
      </c>
      <c r="V27" s="10">
        <v>17</v>
      </c>
      <c r="W27" s="10">
        <v>202</v>
      </c>
      <c r="X27" s="31">
        <v>81</v>
      </c>
    </row>
    <row r="28" spans="1:24" ht="13.8" thickBot="1" x14ac:dyDescent="0.3">
      <c r="A28" s="32" t="s">
        <v>22</v>
      </c>
      <c r="B28" s="33">
        <f t="shared" si="4"/>
        <v>-0.6824345146379045</v>
      </c>
      <c r="C28" s="52">
        <v>-1957</v>
      </c>
      <c r="D28" s="34">
        <v>-2246</v>
      </c>
      <c r="E28" s="104">
        <f>SUM(E23:E27)</f>
        <v>2061</v>
      </c>
      <c r="F28" s="34">
        <f t="shared" ref="F28:L28" si="5">SUM(F23:F27)</f>
        <v>6490</v>
      </c>
      <c r="G28" s="34">
        <f t="shared" si="5"/>
        <v>2693</v>
      </c>
      <c r="H28" s="34">
        <f t="shared" si="5"/>
        <v>3955</v>
      </c>
      <c r="I28" s="34">
        <f t="shared" si="5"/>
        <v>3400</v>
      </c>
      <c r="J28" s="34">
        <f t="shared" si="5"/>
        <v>5804</v>
      </c>
      <c r="K28" s="34">
        <f t="shared" si="5"/>
        <v>6520</v>
      </c>
      <c r="L28" s="34">
        <f t="shared" si="5"/>
        <v>6222</v>
      </c>
      <c r="M28" s="34">
        <f t="shared" ref="M28:R28" si="6">SUM(M23:M27)</f>
        <v>145</v>
      </c>
      <c r="N28" s="34">
        <f t="shared" si="6"/>
        <v>3838</v>
      </c>
      <c r="O28" s="34">
        <f t="shared" si="6"/>
        <v>3879</v>
      </c>
      <c r="P28" s="34">
        <f t="shared" si="6"/>
        <v>5506</v>
      </c>
      <c r="Q28" s="34">
        <f t="shared" si="6"/>
        <v>4201</v>
      </c>
      <c r="R28" s="34">
        <f t="shared" si="6"/>
        <v>2050</v>
      </c>
      <c r="S28" s="34">
        <f t="shared" ref="S28:X28" si="7">SUM(S23:S27)</f>
        <v>7392</v>
      </c>
      <c r="T28" s="34">
        <f t="shared" si="7"/>
        <v>1557</v>
      </c>
      <c r="U28" s="34">
        <f t="shared" si="7"/>
        <v>6542</v>
      </c>
      <c r="V28" s="34">
        <f t="shared" si="7"/>
        <v>495</v>
      </c>
      <c r="W28" s="34">
        <f t="shared" si="7"/>
        <v>7253</v>
      </c>
      <c r="X28" s="35">
        <f t="shared" si="7"/>
        <v>2589</v>
      </c>
    </row>
    <row r="35" spans="23:25" ht="17.399999999999999" x14ac:dyDescent="0.3">
      <c r="W35" s="5"/>
      <c r="X35" s="1"/>
      <c r="Y35" s="1"/>
    </row>
    <row r="36" spans="23:25" ht="17.399999999999999" x14ac:dyDescent="0.3">
      <c r="W36" s="5"/>
      <c r="X36" s="1"/>
      <c r="Y36" s="1"/>
    </row>
    <row r="37" spans="23:25" ht="17.399999999999999" x14ac:dyDescent="0.3">
      <c r="W37" s="5"/>
      <c r="X37" s="1"/>
      <c r="Y37" s="1"/>
    </row>
    <row r="38" spans="23:25" ht="17.399999999999999" x14ac:dyDescent="0.3">
      <c r="W38" s="5"/>
      <c r="X38" s="1"/>
      <c r="Y38" s="1"/>
    </row>
    <row r="39" spans="23:25" ht="17.399999999999999" x14ac:dyDescent="0.3">
      <c r="W39" s="5"/>
      <c r="X39" s="1"/>
      <c r="Y39" s="1"/>
    </row>
    <row r="40" spans="23:25" ht="17.399999999999999" x14ac:dyDescent="0.3">
      <c r="W40" s="5"/>
      <c r="X40" s="1"/>
      <c r="Y40" s="1"/>
    </row>
    <row r="41" spans="23:25" ht="17.399999999999999" x14ac:dyDescent="0.3">
      <c r="W41" s="5"/>
      <c r="X41" s="1"/>
      <c r="Y41" s="1"/>
    </row>
    <row r="42" spans="23:25" ht="17.399999999999999" x14ac:dyDescent="0.3">
      <c r="W42" s="5"/>
      <c r="X42" s="1"/>
      <c r="Y42" s="1"/>
    </row>
    <row r="43" spans="23:25" ht="17.399999999999999" x14ac:dyDescent="0.3">
      <c r="W43" s="5"/>
      <c r="X43" s="1"/>
      <c r="Y43" s="1"/>
    </row>
    <row r="44" spans="23:25" ht="17.399999999999999" x14ac:dyDescent="0.3">
      <c r="W44" s="5"/>
      <c r="X44" s="1"/>
      <c r="Y44" s="1"/>
    </row>
    <row r="45" spans="23:25" ht="17.399999999999999" x14ac:dyDescent="0.3">
      <c r="W45" s="6"/>
      <c r="X45" s="1"/>
      <c r="Y45" s="1"/>
    </row>
    <row r="46" spans="23:25" ht="18" x14ac:dyDescent="0.35">
      <c r="W46" s="7"/>
      <c r="X46" s="2"/>
      <c r="Y46" s="2"/>
    </row>
  </sheetData>
  <conditionalFormatting sqref="E1">
    <cfRule type="expression" dxfId="5" priority="3">
      <formula>ISBLANK(XFD1)=FALSE</formula>
    </cfRule>
  </conditionalFormatting>
  <conditionalFormatting sqref="E22">
    <cfRule type="expression" dxfId="4" priority="1">
      <formula>ISBLANK(XFD22)=FALSE</formula>
    </cfRule>
  </conditionalFormatting>
  <pageMargins left="0.75" right="0.75" top="1" bottom="1" header="0.5" footer="0.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Y37"/>
  <sheetViews>
    <sheetView zoomScaleNormal="100" workbookViewId="0"/>
  </sheetViews>
  <sheetFormatPr defaultColWidth="9.109375" defaultRowHeight="13.2" x14ac:dyDescent="0.25"/>
  <cols>
    <col min="1" max="1" width="23.6640625" customWidth="1"/>
    <col min="2" max="2" width="10.6640625" customWidth="1"/>
    <col min="3" max="3" width="11.6640625" bestFit="1" customWidth="1"/>
    <col min="4" max="4" width="11.33203125" bestFit="1" customWidth="1"/>
    <col min="5" max="13" width="11.33203125" customWidth="1"/>
    <col min="14" max="24" width="10.33203125" customWidth="1"/>
    <col min="26" max="26" width="11" customWidth="1"/>
  </cols>
  <sheetData>
    <row r="1" spans="1:24" ht="13.8" thickBot="1" x14ac:dyDescent="0.3">
      <c r="A1" s="39" t="s">
        <v>89</v>
      </c>
      <c r="B1" s="24" t="s">
        <v>172</v>
      </c>
      <c r="C1" s="49" t="s">
        <v>179</v>
      </c>
      <c r="D1" s="83" t="s">
        <v>173</v>
      </c>
      <c r="E1" s="159">
        <v>46054</v>
      </c>
      <c r="F1" s="86">
        <v>45689</v>
      </c>
      <c r="G1" s="86">
        <v>45323</v>
      </c>
      <c r="H1" s="86">
        <v>44958</v>
      </c>
      <c r="I1" s="86">
        <v>44593</v>
      </c>
      <c r="J1" s="86">
        <v>44228</v>
      </c>
      <c r="K1" s="86">
        <v>43862</v>
      </c>
      <c r="L1" s="86">
        <v>43497</v>
      </c>
      <c r="M1" s="86">
        <v>43132</v>
      </c>
      <c r="N1" s="25">
        <v>42767</v>
      </c>
      <c r="O1" s="25">
        <v>42401</v>
      </c>
      <c r="P1" s="25">
        <v>42036</v>
      </c>
      <c r="Q1" s="25">
        <v>41671</v>
      </c>
      <c r="R1" s="25">
        <v>41306</v>
      </c>
      <c r="S1" s="25">
        <v>40940</v>
      </c>
      <c r="T1" s="25">
        <v>40575</v>
      </c>
      <c r="U1" s="25">
        <v>40210</v>
      </c>
      <c r="V1" s="25">
        <v>39845</v>
      </c>
      <c r="W1" s="25">
        <v>39479</v>
      </c>
      <c r="X1" s="26">
        <v>39114</v>
      </c>
    </row>
    <row r="2" spans="1:24" x14ac:dyDescent="0.25">
      <c r="A2" s="20" t="s">
        <v>4</v>
      </c>
      <c r="B2" s="27">
        <f t="shared" ref="B2:B8" si="0">IFERROR(((E2-F2)/F2),"")</f>
        <v>1.7253694581280787</v>
      </c>
      <c r="C2" s="50">
        <v>-2143</v>
      </c>
      <c r="D2" s="1">
        <v>-1169</v>
      </c>
      <c r="E2" s="114">
        <v>2213</v>
      </c>
      <c r="F2" s="1">
        <v>812</v>
      </c>
      <c r="G2" s="1">
        <v>813</v>
      </c>
      <c r="H2" s="1">
        <v>2488</v>
      </c>
      <c r="I2" s="1">
        <v>3912</v>
      </c>
      <c r="J2" s="1">
        <v>2089</v>
      </c>
      <c r="K2" s="1">
        <v>2921</v>
      </c>
      <c r="L2" s="1">
        <v>3158.0419999999999</v>
      </c>
      <c r="M2" s="38">
        <v>535</v>
      </c>
      <c r="N2" s="38">
        <v>3179</v>
      </c>
      <c r="O2" s="38">
        <v>5374</v>
      </c>
      <c r="P2" s="38">
        <v>5982</v>
      </c>
      <c r="Q2" s="1">
        <v>5900</v>
      </c>
      <c r="R2" s="1">
        <v>3000</v>
      </c>
      <c r="S2" s="1">
        <v>4000</v>
      </c>
      <c r="T2" s="1">
        <v>4000</v>
      </c>
      <c r="U2" s="1">
        <v>4000</v>
      </c>
      <c r="V2" s="1">
        <v>9000</v>
      </c>
      <c r="W2" s="1">
        <v>5000</v>
      </c>
      <c r="X2" s="29">
        <v>11000</v>
      </c>
    </row>
    <row r="3" spans="1:24" x14ac:dyDescent="0.25">
      <c r="A3" s="20" t="s">
        <v>2</v>
      </c>
      <c r="B3" s="27">
        <f t="shared" si="0"/>
        <v>0.35888416230366493</v>
      </c>
      <c r="C3" s="50">
        <v>-11986</v>
      </c>
      <c r="D3" s="1">
        <v>-9613</v>
      </c>
      <c r="E3" s="114">
        <v>49833</v>
      </c>
      <c r="F3" s="1">
        <v>36672</v>
      </c>
      <c r="G3" s="1">
        <v>30435</v>
      </c>
      <c r="H3" s="1">
        <v>40882</v>
      </c>
      <c r="I3" s="1">
        <v>47080</v>
      </c>
      <c r="J3" s="1">
        <v>30063</v>
      </c>
      <c r="K3" s="1">
        <v>57669</v>
      </c>
      <c r="L3" s="1">
        <v>42195.347999999998</v>
      </c>
      <c r="M3" s="38">
        <v>35587</v>
      </c>
      <c r="N3" s="38">
        <v>56334</v>
      </c>
      <c r="O3" s="38">
        <v>62317</v>
      </c>
      <c r="P3" s="38">
        <v>63782</v>
      </c>
      <c r="Q3" s="1">
        <v>53324</v>
      </c>
      <c r="R3" s="1">
        <v>46000</v>
      </c>
      <c r="S3" s="1">
        <v>69000</v>
      </c>
      <c r="T3" s="1">
        <v>53000</v>
      </c>
      <c r="U3" s="1">
        <v>84000</v>
      </c>
      <c r="V3" s="1">
        <v>64000</v>
      </c>
      <c r="W3" s="1">
        <v>62000</v>
      </c>
      <c r="X3" s="29">
        <v>50000</v>
      </c>
    </row>
    <row r="4" spans="1:24" x14ac:dyDescent="0.25">
      <c r="A4" s="20" t="s">
        <v>3</v>
      </c>
      <c r="B4" s="27">
        <f t="shared" si="0"/>
        <v>-0.28802776171197225</v>
      </c>
      <c r="C4" s="50">
        <v>-344</v>
      </c>
      <c r="D4" s="1">
        <v>-305</v>
      </c>
      <c r="E4" s="114">
        <v>1231</v>
      </c>
      <c r="F4" s="1">
        <v>1729</v>
      </c>
      <c r="G4" s="1">
        <v>2446</v>
      </c>
      <c r="H4" s="1">
        <v>3157</v>
      </c>
      <c r="I4" s="1">
        <v>3027</v>
      </c>
      <c r="J4" s="1">
        <v>3515</v>
      </c>
      <c r="K4" s="1">
        <v>4572</v>
      </c>
      <c r="L4" s="1">
        <v>5693.8459999999995</v>
      </c>
      <c r="M4" s="38">
        <v>6634</v>
      </c>
      <c r="N4" s="38">
        <v>8141</v>
      </c>
      <c r="O4" s="38">
        <v>12458</v>
      </c>
      <c r="P4" s="38">
        <v>13812</v>
      </c>
      <c r="Q4" s="1">
        <v>15387</v>
      </c>
      <c r="R4" s="1">
        <v>15000</v>
      </c>
      <c r="S4" s="1">
        <v>15000</v>
      </c>
      <c r="T4" s="1">
        <v>12000</v>
      </c>
      <c r="U4" s="1">
        <v>12000</v>
      </c>
      <c r="V4" s="1">
        <v>16000</v>
      </c>
      <c r="W4" s="1">
        <v>15000</v>
      </c>
      <c r="X4" s="29">
        <v>17000</v>
      </c>
    </row>
    <row r="5" spans="1:24" x14ac:dyDescent="0.25">
      <c r="A5" s="20" t="s">
        <v>106</v>
      </c>
      <c r="B5" s="27">
        <f t="shared" si="0"/>
        <v>0.32919580419580419</v>
      </c>
      <c r="C5" s="50">
        <v>-4666</v>
      </c>
      <c r="D5" s="1">
        <v>-2732</v>
      </c>
      <c r="E5" s="114">
        <v>38015</v>
      </c>
      <c r="F5" s="1">
        <v>28600</v>
      </c>
      <c r="G5" s="1">
        <v>29051</v>
      </c>
      <c r="H5" s="1">
        <v>36140</v>
      </c>
      <c r="I5" s="1">
        <v>34612</v>
      </c>
      <c r="J5" s="1">
        <v>33730</v>
      </c>
      <c r="K5" s="1">
        <v>41183</v>
      </c>
      <c r="L5" s="1">
        <v>41004.101000000002</v>
      </c>
      <c r="M5" s="38">
        <v>34009</v>
      </c>
      <c r="N5" s="132">
        <v>58774</v>
      </c>
      <c r="O5" s="132">
        <v>56353</v>
      </c>
      <c r="P5" s="132">
        <v>62439</v>
      </c>
      <c r="Q5" s="84">
        <v>63948</v>
      </c>
      <c r="R5" s="84">
        <v>59000</v>
      </c>
      <c r="S5" s="84">
        <v>98000</v>
      </c>
      <c r="T5" s="84">
        <v>59000</v>
      </c>
      <c r="U5" s="84">
        <v>89000</v>
      </c>
      <c r="V5" s="84">
        <v>89000</v>
      </c>
      <c r="W5" s="1">
        <v>88000</v>
      </c>
      <c r="X5" s="29">
        <v>80000</v>
      </c>
    </row>
    <row r="6" spans="1:24" x14ac:dyDescent="0.25">
      <c r="A6" s="20" t="s">
        <v>133</v>
      </c>
      <c r="B6" s="27">
        <f t="shared" si="0"/>
        <v>0.83048679076312926</v>
      </c>
      <c r="C6" s="50">
        <v>-3543</v>
      </c>
      <c r="D6" s="1">
        <v>-2040</v>
      </c>
      <c r="E6" s="114">
        <v>28616</v>
      </c>
      <c r="F6" s="1">
        <v>15633</v>
      </c>
      <c r="G6" s="1">
        <v>19368</v>
      </c>
      <c r="H6" s="1">
        <v>24630</v>
      </c>
      <c r="I6" s="1">
        <v>26136</v>
      </c>
      <c r="J6" s="1">
        <v>23705</v>
      </c>
      <c r="K6" s="1">
        <v>25959</v>
      </c>
      <c r="L6" s="1">
        <v>26745.378000000001</v>
      </c>
      <c r="M6" s="38">
        <v>15470</v>
      </c>
      <c r="N6" s="132">
        <v>25238</v>
      </c>
      <c r="O6" s="132">
        <v>22057</v>
      </c>
      <c r="P6" s="132">
        <v>22057</v>
      </c>
      <c r="Q6" s="84">
        <v>17502</v>
      </c>
      <c r="R6" s="84"/>
      <c r="S6" s="84"/>
      <c r="T6" s="84"/>
      <c r="U6" s="84"/>
      <c r="V6" s="84"/>
      <c r="W6" s="1"/>
      <c r="X6" s="29"/>
    </row>
    <row r="7" spans="1:24" ht="13.8" thickBot="1" x14ac:dyDescent="0.3">
      <c r="A7" s="30" t="s">
        <v>58</v>
      </c>
      <c r="B7" s="28">
        <f t="shared" si="0"/>
        <v>0.94611982308001608</v>
      </c>
      <c r="C7" s="51">
        <v>-2416</v>
      </c>
      <c r="D7" s="10">
        <v>-1398</v>
      </c>
      <c r="E7" s="124">
        <v>4840</v>
      </c>
      <c r="F7" s="10">
        <v>2487</v>
      </c>
      <c r="G7" s="10">
        <v>2328</v>
      </c>
      <c r="H7" s="10">
        <v>3578</v>
      </c>
      <c r="I7" s="10">
        <v>3571</v>
      </c>
      <c r="J7" s="10">
        <v>6576</v>
      </c>
      <c r="K7" s="10">
        <v>6908</v>
      </c>
      <c r="L7" s="10">
        <v>7689.518</v>
      </c>
      <c r="M7" s="37">
        <v>6089</v>
      </c>
      <c r="N7" s="133">
        <v>7312</v>
      </c>
      <c r="O7" s="133">
        <v>5869</v>
      </c>
      <c r="P7" s="133">
        <v>7055</v>
      </c>
      <c r="Q7" s="85">
        <v>6609</v>
      </c>
      <c r="R7" s="85">
        <v>23000</v>
      </c>
      <c r="S7" s="85">
        <v>25000</v>
      </c>
      <c r="T7" s="85">
        <v>23000</v>
      </c>
      <c r="U7" s="85">
        <v>16000</v>
      </c>
      <c r="V7" s="85">
        <v>7000</v>
      </c>
      <c r="W7" s="10">
        <v>5000</v>
      </c>
      <c r="X7" s="31">
        <v>9000</v>
      </c>
    </row>
    <row r="8" spans="1:24" ht="13.8" thickBot="1" x14ac:dyDescent="0.3">
      <c r="A8" s="32" t="s">
        <v>22</v>
      </c>
      <c r="B8" s="33">
        <f t="shared" si="0"/>
        <v>0.4516891066295835</v>
      </c>
      <c r="C8" s="52">
        <v>-25098</v>
      </c>
      <c r="D8" s="34">
        <v>-17257</v>
      </c>
      <c r="E8" s="104">
        <f t="shared" ref="E8" si="1">SUM(E2:E7)</f>
        <v>124748</v>
      </c>
      <c r="F8" s="34">
        <f t="shared" ref="F8:L8" si="2">SUM(F2:F7)</f>
        <v>85933</v>
      </c>
      <c r="G8" s="34">
        <f t="shared" si="2"/>
        <v>84441</v>
      </c>
      <c r="H8" s="34">
        <f t="shared" si="2"/>
        <v>110875</v>
      </c>
      <c r="I8" s="34">
        <f t="shared" si="2"/>
        <v>118338</v>
      </c>
      <c r="J8" s="34">
        <f t="shared" si="2"/>
        <v>99678</v>
      </c>
      <c r="K8" s="34">
        <f t="shared" si="2"/>
        <v>139212</v>
      </c>
      <c r="L8" s="34">
        <f t="shared" si="2"/>
        <v>126486.23299999999</v>
      </c>
      <c r="M8" s="34">
        <f t="shared" ref="M8:X8" si="3">SUM(M2:M7)</f>
        <v>98324</v>
      </c>
      <c r="N8" s="34">
        <f t="shared" si="3"/>
        <v>158978</v>
      </c>
      <c r="O8" s="34">
        <f t="shared" si="3"/>
        <v>164428</v>
      </c>
      <c r="P8" s="34">
        <f t="shared" si="3"/>
        <v>175127</v>
      </c>
      <c r="Q8" s="34">
        <f t="shared" si="3"/>
        <v>162670</v>
      </c>
      <c r="R8" s="34">
        <f t="shared" si="3"/>
        <v>146000</v>
      </c>
      <c r="S8" s="34">
        <f t="shared" si="3"/>
        <v>211000</v>
      </c>
      <c r="T8" s="34">
        <f t="shared" si="3"/>
        <v>151000</v>
      </c>
      <c r="U8" s="34">
        <f t="shared" si="3"/>
        <v>205000</v>
      </c>
      <c r="V8" s="34">
        <f t="shared" si="3"/>
        <v>185000</v>
      </c>
      <c r="W8" s="34">
        <f t="shared" si="3"/>
        <v>175000</v>
      </c>
      <c r="X8" s="35">
        <f t="shared" si="3"/>
        <v>167000</v>
      </c>
    </row>
    <row r="9" spans="1:24" x14ac:dyDescent="0.25"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131"/>
      <c r="N9" s="36"/>
    </row>
    <row r="10" spans="1:24" ht="13.8" thickBot="1" x14ac:dyDescent="0.3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131"/>
      <c r="N10" s="36"/>
    </row>
    <row r="11" spans="1:24" ht="13.8" thickBot="1" x14ac:dyDescent="0.3">
      <c r="A11" s="23" t="s">
        <v>24</v>
      </c>
      <c r="B11" s="24" t="s">
        <v>172</v>
      </c>
      <c r="C11" s="49" t="s">
        <v>179</v>
      </c>
      <c r="D11" s="83" t="s">
        <v>173</v>
      </c>
      <c r="E11" s="159">
        <v>46054</v>
      </c>
      <c r="F11" s="86">
        <v>45689</v>
      </c>
      <c r="G11" s="86">
        <v>45323</v>
      </c>
      <c r="H11" s="86">
        <v>44958</v>
      </c>
      <c r="I11" s="86">
        <v>44593</v>
      </c>
      <c r="J11" s="86">
        <v>44228</v>
      </c>
      <c r="K11" s="86">
        <v>43862</v>
      </c>
      <c r="L11" s="86">
        <v>43497</v>
      </c>
      <c r="M11" s="86">
        <v>43132</v>
      </c>
      <c r="N11" s="25">
        <v>42767</v>
      </c>
      <c r="O11" s="25">
        <v>42401</v>
      </c>
      <c r="P11" s="25">
        <v>42036</v>
      </c>
      <c r="Q11" s="25">
        <v>41671</v>
      </c>
      <c r="R11" s="25">
        <v>41306</v>
      </c>
      <c r="S11" s="25">
        <v>40940</v>
      </c>
      <c r="T11" s="25">
        <v>40575</v>
      </c>
      <c r="U11" s="25">
        <v>40210</v>
      </c>
      <c r="V11" s="25">
        <v>39845</v>
      </c>
      <c r="W11" s="25">
        <v>39479</v>
      </c>
      <c r="X11" s="26">
        <v>39114</v>
      </c>
    </row>
    <row r="12" spans="1:24" x14ac:dyDescent="0.25">
      <c r="A12" s="20" t="s">
        <v>7</v>
      </c>
      <c r="B12" s="27">
        <f t="shared" ref="B12:B15" si="4">IFERROR(((E12-F12)/F12),"")</f>
        <v>0.15551509842034658</v>
      </c>
      <c r="C12" s="50">
        <v>-26901</v>
      </c>
      <c r="D12" s="1">
        <v>-25694</v>
      </c>
      <c r="E12" s="114">
        <v>168830</v>
      </c>
      <c r="F12" s="1">
        <v>146108</v>
      </c>
      <c r="G12" s="1">
        <v>164833</v>
      </c>
      <c r="H12" s="1">
        <v>155525</v>
      </c>
      <c r="I12" s="1">
        <v>135456</v>
      </c>
      <c r="J12" s="1">
        <v>161943</v>
      </c>
      <c r="K12" s="1">
        <v>143061</v>
      </c>
      <c r="L12" s="1">
        <v>163298.85200000001</v>
      </c>
      <c r="M12" s="38">
        <v>141322</v>
      </c>
      <c r="N12" s="1">
        <v>149693</v>
      </c>
      <c r="O12" s="1">
        <v>150074</v>
      </c>
      <c r="P12" s="1">
        <v>144131</v>
      </c>
      <c r="Q12" s="1">
        <v>139259</v>
      </c>
      <c r="R12" s="1">
        <v>77000</v>
      </c>
      <c r="S12" s="1">
        <v>126000</v>
      </c>
      <c r="T12" s="1">
        <v>98000</v>
      </c>
      <c r="U12" s="1">
        <v>115000</v>
      </c>
      <c r="V12" s="1">
        <v>51000</v>
      </c>
      <c r="W12" s="1">
        <v>77000</v>
      </c>
      <c r="X12" s="29">
        <v>75000</v>
      </c>
    </row>
    <row r="13" spans="1:24" x14ac:dyDescent="0.25">
      <c r="A13" s="20" t="s">
        <v>99</v>
      </c>
      <c r="B13" s="27">
        <f t="shared" si="4"/>
        <v>1.5236742424242424</v>
      </c>
      <c r="C13" s="50">
        <v>-4035</v>
      </c>
      <c r="D13" s="1">
        <v>-2678</v>
      </c>
      <c r="E13" s="114">
        <v>2665</v>
      </c>
      <c r="F13" s="1">
        <v>1056</v>
      </c>
      <c r="G13" s="1">
        <v>3201</v>
      </c>
      <c r="H13" s="1">
        <v>2477</v>
      </c>
      <c r="I13" s="1">
        <v>2216</v>
      </c>
      <c r="J13" s="1">
        <v>4001</v>
      </c>
      <c r="K13" s="1">
        <v>4857</v>
      </c>
      <c r="L13" s="1">
        <v>6990.3630000000003</v>
      </c>
      <c r="M13" s="38">
        <v>1308</v>
      </c>
      <c r="N13" s="1">
        <v>5978</v>
      </c>
      <c r="O13" s="1">
        <v>5571</v>
      </c>
      <c r="P13" s="1">
        <v>2967</v>
      </c>
      <c r="Q13" s="1">
        <v>5298</v>
      </c>
      <c r="R13" s="1">
        <v>1000</v>
      </c>
      <c r="S13" s="1">
        <v>4000</v>
      </c>
      <c r="T13" s="1">
        <v>4000</v>
      </c>
      <c r="U13" s="1">
        <v>4000</v>
      </c>
      <c r="V13" s="1">
        <v>2000</v>
      </c>
      <c r="W13" s="1">
        <v>4000</v>
      </c>
      <c r="X13" s="29">
        <v>4000</v>
      </c>
    </row>
    <row r="14" spans="1:24" ht="13.8" thickBot="1" x14ac:dyDescent="0.3">
      <c r="A14" s="30" t="s">
        <v>6</v>
      </c>
      <c r="B14" s="28">
        <f t="shared" si="4"/>
        <v>0.96914250271359903</v>
      </c>
      <c r="C14" s="51">
        <v>-9229</v>
      </c>
      <c r="D14" s="10">
        <v>-9249</v>
      </c>
      <c r="E14" s="124">
        <v>12699</v>
      </c>
      <c r="F14" s="10">
        <v>6449</v>
      </c>
      <c r="G14" s="10">
        <v>11547</v>
      </c>
      <c r="H14" s="10">
        <v>12519</v>
      </c>
      <c r="I14" s="10">
        <v>10447</v>
      </c>
      <c r="J14" s="10">
        <v>11640</v>
      </c>
      <c r="K14" s="10">
        <v>9000</v>
      </c>
      <c r="L14" s="10">
        <v>11599</v>
      </c>
      <c r="M14" s="37">
        <v>5426</v>
      </c>
      <c r="N14" s="10">
        <v>10044</v>
      </c>
      <c r="O14" s="10">
        <v>11190</v>
      </c>
      <c r="P14" s="10">
        <v>7592</v>
      </c>
      <c r="Q14" s="10">
        <v>10317</v>
      </c>
      <c r="R14" s="10">
        <v>1000</v>
      </c>
      <c r="S14" s="10">
        <v>2000</v>
      </c>
      <c r="T14" s="10">
        <v>1000</v>
      </c>
      <c r="U14" s="10">
        <v>2000</v>
      </c>
      <c r="V14" s="10">
        <v>1000</v>
      </c>
      <c r="W14" s="10">
        <v>1000</v>
      </c>
      <c r="X14" s="31">
        <v>1000</v>
      </c>
    </row>
    <row r="15" spans="1:24" ht="13.8" thickBot="1" x14ac:dyDescent="0.3">
      <c r="A15" s="32" t="s">
        <v>22</v>
      </c>
      <c r="B15" s="33">
        <f t="shared" si="4"/>
        <v>0.19907820301667176</v>
      </c>
      <c r="C15" s="52">
        <v>-40165</v>
      </c>
      <c r="D15" s="34">
        <v>-37621</v>
      </c>
      <c r="E15" s="104">
        <f t="shared" ref="E15" si="5">SUM(E12:E14)</f>
        <v>184194</v>
      </c>
      <c r="F15" s="34">
        <f t="shared" ref="F15:L15" si="6">SUM(F12:F14)</f>
        <v>153613</v>
      </c>
      <c r="G15" s="34">
        <f t="shared" si="6"/>
        <v>179581</v>
      </c>
      <c r="H15" s="34">
        <f t="shared" si="6"/>
        <v>170521</v>
      </c>
      <c r="I15" s="34">
        <f t="shared" si="6"/>
        <v>148119</v>
      </c>
      <c r="J15" s="34">
        <f t="shared" si="6"/>
        <v>177584</v>
      </c>
      <c r="K15" s="34">
        <f t="shared" si="6"/>
        <v>156918</v>
      </c>
      <c r="L15" s="34">
        <f t="shared" si="6"/>
        <v>181888.21500000003</v>
      </c>
      <c r="M15" s="34">
        <f t="shared" ref="M15:R15" si="7">SUM(M12:M14)</f>
        <v>148056</v>
      </c>
      <c r="N15" s="34">
        <f t="shared" si="7"/>
        <v>165715</v>
      </c>
      <c r="O15" s="34">
        <f t="shared" si="7"/>
        <v>166835</v>
      </c>
      <c r="P15" s="34">
        <f t="shared" si="7"/>
        <v>154690</v>
      </c>
      <c r="Q15" s="34">
        <f t="shared" si="7"/>
        <v>154874</v>
      </c>
      <c r="R15" s="34">
        <f t="shared" si="7"/>
        <v>79000</v>
      </c>
      <c r="S15" s="34">
        <f t="shared" ref="S15:X15" si="8">SUM(S12:S14)</f>
        <v>132000</v>
      </c>
      <c r="T15" s="34">
        <f t="shared" si="8"/>
        <v>103000</v>
      </c>
      <c r="U15" s="34">
        <f t="shared" si="8"/>
        <v>121000</v>
      </c>
      <c r="V15" s="34">
        <f t="shared" si="8"/>
        <v>54000</v>
      </c>
      <c r="W15" s="34">
        <f t="shared" si="8"/>
        <v>82000</v>
      </c>
      <c r="X15" s="35">
        <f t="shared" si="8"/>
        <v>80000</v>
      </c>
    </row>
    <row r="21" spans="4:25" ht="14.4" x14ac:dyDescent="0.25">
      <c r="D21" s="176"/>
      <c r="E21" s="176"/>
    </row>
    <row r="22" spans="4:25" ht="17.399999999999999" x14ac:dyDescent="0.3">
      <c r="D22" s="177"/>
      <c r="E22" s="177"/>
      <c r="W22" s="5"/>
      <c r="X22" s="1"/>
      <c r="Y22" s="1"/>
    </row>
    <row r="23" spans="4:25" ht="17.399999999999999" x14ac:dyDescent="0.3">
      <c r="D23" s="177"/>
      <c r="E23" s="177"/>
      <c r="W23" s="5"/>
      <c r="X23" s="1"/>
      <c r="Y23" s="1"/>
    </row>
    <row r="24" spans="4:25" ht="17.399999999999999" x14ac:dyDescent="0.3">
      <c r="D24" s="177"/>
      <c r="E24" s="177"/>
      <c r="W24" s="5"/>
      <c r="X24" s="1"/>
      <c r="Y24" s="1"/>
    </row>
    <row r="25" spans="4:25" ht="17.399999999999999" x14ac:dyDescent="0.3">
      <c r="D25" s="177"/>
      <c r="E25" s="177"/>
      <c r="W25" s="5"/>
      <c r="X25" s="1"/>
      <c r="Y25" s="1"/>
    </row>
    <row r="26" spans="4:25" ht="17.399999999999999" x14ac:dyDescent="0.3">
      <c r="D26" s="177"/>
      <c r="E26" s="177"/>
      <c r="W26" s="5"/>
      <c r="X26" s="1"/>
      <c r="Y26" s="1"/>
    </row>
    <row r="27" spans="4:25" ht="17.399999999999999" x14ac:dyDescent="0.3">
      <c r="D27" s="177"/>
      <c r="E27" s="177"/>
      <c r="W27" s="5"/>
      <c r="X27" s="1"/>
      <c r="Y27" s="1"/>
    </row>
    <row r="28" spans="4:25" ht="17.399999999999999" x14ac:dyDescent="0.3">
      <c r="D28" s="177"/>
      <c r="E28" s="177"/>
      <c r="W28" s="5"/>
      <c r="X28" s="1"/>
      <c r="Y28" s="1"/>
    </row>
    <row r="29" spans="4:25" ht="17.399999999999999" x14ac:dyDescent="0.3">
      <c r="D29" s="177"/>
      <c r="E29" s="177"/>
      <c r="W29" s="5"/>
      <c r="X29" s="1"/>
      <c r="Y29" s="1"/>
    </row>
    <row r="30" spans="4:25" ht="17.399999999999999" x14ac:dyDescent="0.3">
      <c r="D30" s="177"/>
      <c r="E30" s="177"/>
      <c r="W30" s="5"/>
      <c r="X30" s="1"/>
      <c r="Y30" s="1"/>
    </row>
    <row r="31" spans="4:25" ht="17.399999999999999" x14ac:dyDescent="0.3">
      <c r="D31" s="177"/>
      <c r="E31" s="177"/>
      <c r="W31" s="5"/>
      <c r="X31" s="1"/>
      <c r="Y31" s="1"/>
    </row>
    <row r="32" spans="4:25" ht="17.399999999999999" x14ac:dyDescent="0.3">
      <c r="D32" s="177"/>
      <c r="E32" s="177"/>
      <c r="W32" s="6"/>
      <c r="X32" s="1"/>
      <c r="Y32" s="1"/>
    </row>
    <row r="33" spans="4:25" ht="18" x14ac:dyDescent="0.35">
      <c r="D33" s="177"/>
      <c r="E33" s="177"/>
      <c r="W33" s="7"/>
      <c r="X33" s="2"/>
      <c r="Y33" s="2"/>
    </row>
    <row r="34" spans="4:25" x14ac:dyDescent="0.25">
      <c r="D34" s="177"/>
      <c r="E34" s="177"/>
    </row>
    <row r="35" spans="4:25" x14ac:dyDescent="0.25">
      <c r="D35" s="177"/>
      <c r="E35" s="177"/>
    </row>
    <row r="36" spans="4:25" x14ac:dyDescent="0.25">
      <c r="D36" s="177"/>
      <c r="E36" s="177"/>
    </row>
    <row r="37" spans="4:25" x14ac:dyDescent="0.25">
      <c r="D37" s="177"/>
      <c r="E37" s="177"/>
    </row>
  </sheetData>
  <conditionalFormatting sqref="E1">
    <cfRule type="expression" dxfId="3" priority="3">
      <formula>ISBLANK(XFD1)=FALSE</formula>
    </cfRule>
  </conditionalFormatting>
  <conditionalFormatting sqref="E11">
    <cfRule type="expression" dxfId="2" priority="1">
      <formula>ISBLANK(XFD11)=FALSE</formula>
    </cfRule>
  </conditionalFormatting>
  <pageMargins left="0.75" right="0.75" top="1" bottom="1" header="0.5" footer="0.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Y25"/>
  <sheetViews>
    <sheetView zoomScaleNormal="100" workbookViewId="0"/>
  </sheetViews>
  <sheetFormatPr defaultColWidth="9.109375" defaultRowHeight="13.2" x14ac:dyDescent="0.25"/>
  <cols>
    <col min="1" max="1" width="18.109375" customWidth="1"/>
    <col min="2" max="2" width="10.6640625" customWidth="1"/>
    <col min="3" max="3" width="11.6640625" bestFit="1" customWidth="1"/>
    <col min="4" max="4" width="11.33203125" bestFit="1" customWidth="1"/>
    <col min="5" max="5" width="11.33203125" customWidth="1"/>
    <col min="6" max="13" width="11.44140625" customWidth="1"/>
    <col min="14" max="24" width="10.109375" bestFit="1" customWidth="1"/>
  </cols>
  <sheetData>
    <row r="1" spans="1:25" ht="13.8" thickBot="1" x14ac:dyDescent="0.3">
      <c r="A1" s="39" t="s">
        <v>89</v>
      </c>
      <c r="B1" s="24" t="s">
        <v>172</v>
      </c>
      <c r="C1" s="49" t="s">
        <v>179</v>
      </c>
      <c r="D1" s="83" t="s">
        <v>173</v>
      </c>
      <c r="E1" s="159">
        <v>46054</v>
      </c>
      <c r="F1" s="86">
        <v>45689</v>
      </c>
      <c r="G1" s="86">
        <v>45323</v>
      </c>
      <c r="H1" s="86">
        <v>44958</v>
      </c>
      <c r="I1" s="86">
        <v>44593</v>
      </c>
      <c r="J1" s="86">
        <v>44228</v>
      </c>
      <c r="K1" s="86">
        <v>43862</v>
      </c>
      <c r="L1" s="86">
        <v>43497</v>
      </c>
      <c r="M1" s="86">
        <v>43132</v>
      </c>
      <c r="N1" s="25">
        <v>42767</v>
      </c>
      <c r="O1" s="25">
        <v>42401</v>
      </c>
      <c r="P1" s="25">
        <v>42036</v>
      </c>
      <c r="Q1" s="25">
        <v>41671</v>
      </c>
      <c r="R1" s="25">
        <v>41306</v>
      </c>
      <c r="S1" s="25">
        <v>40940</v>
      </c>
      <c r="T1" s="25">
        <v>40575</v>
      </c>
      <c r="U1" s="25">
        <v>40210</v>
      </c>
      <c r="V1" s="25">
        <v>39845</v>
      </c>
      <c r="W1" s="25">
        <v>39479</v>
      </c>
      <c r="X1" s="26">
        <v>39114</v>
      </c>
    </row>
    <row r="2" spans="1:25" x14ac:dyDescent="0.25">
      <c r="A2" s="40" t="s">
        <v>11</v>
      </c>
      <c r="B2" s="47">
        <f t="shared" ref="B2:B12" si="0">IFERROR(((E2-F2)/F2),"")</f>
        <v>-2.7659051830017194E-2</v>
      </c>
      <c r="C2" s="79">
        <v>-4212</v>
      </c>
      <c r="D2" s="38">
        <v>-3709</v>
      </c>
      <c r="E2" s="114">
        <v>19792</v>
      </c>
      <c r="F2" s="1">
        <v>20355</v>
      </c>
      <c r="G2" s="1">
        <v>11142</v>
      </c>
      <c r="H2" s="38">
        <v>19166</v>
      </c>
      <c r="I2" s="38">
        <v>16700</v>
      </c>
      <c r="J2" s="38">
        <v>13579</v>
      </c>
      <c r="K2" s="38">
        <v>16318</v>
      </c>
      <c r="L2" s="38">
        <v>13421</v>
      </c>
      <c r="M2" s="38">
        <v>7512</v>
      </c>
      <c r="N2" s="38">
        <v>13930</v>
      </c>
      <c r="O2" s="38">
        <v>15800</v>
      </c>
      <c r="P2" s="38">
        <v>14500</v>
      </c>
      <c r="Q2" s="38">
        <v>12700</v>
      </c>
      <c r="R2" s="38">
        <v>5000</v>
      </c>
      <c r="S2" s="38">
        <v>11000</v>
      </c>
      <c r="T2" s="38">
        <v>8500</v>
      </c>
      <c r="U2" s="38">
        <v>13000</v>
      </c>
      <c r="V2" s="38">
        <v>5000</v>
      </c>
      <c r="W2" s="38">
        <v>5800</v>
      </c>
      <c r="X2" s="68">
        <v>2500</v>
      </c>
    </row>
    <row r="3" spans="1:25" x14ac:dyDescent="0.25">
      <c r="A3" s="40" t="s">
        <v>35</v>
      </c>
      <c r="B3" s="47">
        <f t="shared" si="0"/>
        <v>-0.162328995662329</v>
      </c>
      <c r="C3" s="79">
        <v>-670</v>
      </c>
      <c r="D3" s="38">
        <v>-904</v>
      </c>
      <c r="E3" s="114">
        <v>5021</v>
      </c>
      <c r="F3" s="1">
        <v>5994</v>
      </c>
      <c r="G3" s="1">
        <v>3065</v>
      </c>
      <c r="H3" s="38">
        <v>7143</v>
      </c>
      <c r="I3" s="38">
        <v>15642</v>
      </c>
      <c r="J3" s="38">
        <v>21859</v>
      </c>
      <c r="K3" s="38">
        <v>21385</v>
      </c>
      <c r="L3" s="38">
        <v>28905</v>
      </c>
      <c r="M3" s="38">
        <v>28000</v>
      </c>
      <c r="N3" s="38">
        <v>29000</v>
      </c>
      <c r="O3" s="38">
        <v>29500</v>
      </c>
      <c r="P3" s="38">
        <v>45000</v>
      </c>
      <c r="Q3" s="38">
        <v>42000</v>
      </c>
      <c r="R3" s="38">
        <v>19000</v>
      </c>
      <c r="S3" s="38">
        <v>43000</v>
      </c>
      <c r="T3" s="38">
        <v>53000</v>
      </c>
      <c r="U3" s="38">
        <v>44000</v>
      </c>
      <c r="V3" s="38">
        <v>41000</v>
      </c>
      <c r="W3" s="38">
        <v>39000</v>
      </c>
      <c r="X3" s="68">
        <v>42000</v>
      </c>
    </row>
    <row r="4" spans="1:25" x14ac:dyDescent="0.25">
      <c r="A4" s="40" t="s">
        <v>28</v>
      </c>
      <c r="B4" s="47">
        <f t="shared" si="0"/>
        <v>0.12216216216216216</v>
      </c>
      <c r="C4" s="79">
        <v>-947</v>
      </c>
      <c r="D4" s="38">
        <v>-606</v>
      </c>
      <c r="E4" s="114">
        <v>5190</v>
      </c>
      <c r="F4" s="1">
        <v>4625</v>
      </c>
      <c r="G4" s="1">
        <v>1842</v>
      </c>
      <c r="H4" s="38">
        <v>4545</v>
      </c>
      <c r="I4" s="38">
        <v>3583</v>
      </c>
      <c r="J4" s="38">
        <v>4213</v>
      </c>
      <c r="K4" s="38">
        <v>2512</v>
      </c>
      <c r="L4" s="38">
        <v>2256</v>
      </c>
      <c r="M4" s="38">
        <v>956</v>
      </c>
      <c r="N4" s="38"/>
      <c r="O4" s="38">
        <v>1900</v>
      </c>
      <c r="P4" s="38">
        <v>1000</v>
      </c>
      <c r="Q4" s="38">
        <v>1100</v>
      </c>
      <c r="R4" s="38"/>
      <c r="S4" s="38"/>
      <c r="T4" s="38"/>
      <c r="U4" s="38"/>
      <c r="V4" s="38">
        <v>700</v>
      </c>
      <c r="W4" s="38"/>
      <c r="X4" s="68"/>
    </row>
    <row r="5" spans="1:25" x14ac:dyDescent="0.25">
      <c r="A5" s="40" t="s">
        <v>5</v>
      </c>
      <c r="B5" s="47">
        <f t="shared" si="0"/>
        <v>6.624365482233503</v>
      </c>
      <c r="C5" s="79">
        <v>-873</v>
      </c>
      <c r="D5" s="38">
        <v>-556</v>
      </c>
      <c r="E5" s="114">
        <v>1502</v>
      </c>
      <c r="F5" s="1">
        <v>197</v>
      </c>
      <c r="G5" s="1"/>
      <c r="H5" s="38">
        <v>2108</v>
      </c>
      <c r="I5" s="38">
        <v>1018</v>
      </c>
      <c r="J5" s="38">
        <v>1682</v>
      </c>
      <c r="K5" s="38">
        <v>2813</v>
      </c>
      <c r="L5" s="38">
        <v>4111</v>
      </c>
      <c r="M5" s="38">
        <v>2051</v>
      </c>
      <c r="N5" s="38">
        <v>5319</v>
      </c>
      <c r="O5" s="38">
        <v>8700</v>
      </c>
      <c r="P5" s="38">
        <v>4500</v>
      </c>
      <c r="Q5" s="38">
        <v>10900</v>
      </c>
      <c r="R5" s="38">
        <v>4500</v>
      </c>
      <c r="S5" s="38">
        <v>9000</v>
      </c>
      <c r="T5" s="38">
        <v>12000</v>
      </c>
      <c r="U5" s="38">
        <v>13500</v>
      </c>
      <c r="V5" s="38">
        <v>9000</v>
      </c>
      <c r="W5" s="38">
        <v>14000</v>
      </c>
      <c r="X5" s="68">
        <v>8000</v>
      </c>
    </row>
    <row r="6" spans="1:25" x14ac:dyDescent="0.25">
      <c r="A6" s="40" t="s">
        <v>9</v>
      </c>
      <c r="B6" s="47">
        <f t="shared" si="0"/>
        <v>0.37334471271646064</v>
      </c>
      <c r="C6" s="79">
        <v>-7162</v>
      </c>
      <c r="D6" s="38">
        <v>-9052</v>
      </c>
      <c r="E6" s="114">
        <v>49884</v>
      </c>
      <c r="F6" s="1">
        <v>36323</v>
      </c>
      <c r="G6" s="1">
        <v>32285</v>
      </c>
      <c r="H6" s="38">
        <v>45342</v>
      </c>
      <c r="I6" s="38">
        <v>31261</v>
      </c>
      <c r="J6" s="38">
        <v>26916</v>
      </c>
      <c r="K6" s="38">
        <v>28553</v>
      </c>
      <c r="L6" s="38">
        <v>24426</v>
      </c>
      <c r="M6" s="38">
        <v>21685</v>
      </c>
      <c r="N6" s="38">
        <v>16490</v>
      </c>
      <c r="O6" s="38">
        <v>27700</v>
      </c>
      <c r="P6" s="38">
        <v>14500</v>
      </c>
      <c r="Q6" s="38">
        <v>14500</v>
      </c>
      <c r="R6" s="38">
        <v>10000</v>
      </c>
      <c r="S6" s="38">
        <v>10000</v>
      </c>
      <c r="T6" s="38">
        <v>11000</v>
      </c>
      <c r="U6" s="38">
        <v>8500</v>
      </c>
      <c r="V6" s="38">
        <v>5500</v>
      </c>
      <c r="W6" s="38">
        <v>3000</v>
      </c>
      <c r="X6" s="68">
        <v>1000</v>
      </c>
    </row>
    <row r="7" spans="1:25" x14ac:dyDescent="0.25">
      <c r="A7" s="40" t="s">
        <v>26</v>
      </c>
      <c r="B7" s="47" t="str">
        <f t="shared" si="0"/>
        <v/>
      </c>
      <c r="C7" s="79">
        <v>0</v>
      </c>
      <c r="D7" s="38">
        <v>0</v>
      </c>
      <c r="E7" s="43"/>
      <c r="F7" s="38"/>
      <c r="G7" s="38"/>
      <c r="H7" s="38"/>
      <c r="I7" s="38"/>
      <c r="J7" s="38"/>
      <c r="K7" s="38">
        <v>150</v>
      </c>
      <c r="L7" s="38">
        <v>190</v>
      </c>
      <c r="M7" s="38"/>
      <c r="N7" s="38"/>
      <c r="O7" s="38">
        <v>0</v>
      </c>
      <c r="P7" s="38">
        <v>0</v>
      </c>
      <c r="Q7" s="38">
        <v>1000</v>
      </c>
      <c r="R7" s="38">
        <v>0</v>
      </c>
      <c r="S7" s="38">
        <v>0</v>
      </c>
      <c r="T7" s="38">
        <v>0</v>
      </c>
      <c r="U7" s="38">
        <v>300</v>
      </c>
      <c r="V7" s="38">
        <v>1300</v>
      </c>
      <c r="W7" s="38">
        <v>4000</v>
      </c>
      <c r="X7" s="68">
        <v>1000</v>
      </c>
      <c r="Y7" s="1"/>
    </row>
    <row r="8" spans="1:25" x14ac:dyDescent="0.25">
      <c r="A8" s="40" t="s">
        <v>25</v>
      </c>
      <c r="B8" s="108" t="str">
        <f t="shared" si="0"/>
        <v/>
      </c>
      <c r="C8" s="79">
        <v>0</v>
      </c>
      <c r="D8" s="38">
        <v>0</v>
      </c>
      <c r="E8" s="43"/>
      <c r="F8" s="38"/>
      <c r="G8" s="38"/>
      <c r="H8" s="38"/>
      <c r="I8" s="38"/>
      <c r="J8" s="38"/>
      <c r="K8" s="38"/>
      <c r="L8" s="38">
        <v>0</v>
      </c>
      <c r="M8" s="38">
        <v>899</v>
      </c>
      <c r="N8" s="38"/>
      <c r="O8" s="38">
        <v>3000</v>
      </c>
      <c r="P8" s="38">
        <v>3000</v>
      </c>
      <c r="Q8" s="38">
        <v>5000</v>
      </c>
      <c r="R8" s="38">
        <v>1000</v>
      </c>
      <c r="S8" s="38">
        <v>2000</v>
      </c>
      <c r="T8" s="38">
        <v>2000</v>
      </c>
      <c r="U8" s="38">
        <v>2000</v>
      </c>
      <c r="V8" s="38">
        <v>2000</v>
      </c>
      <c r="W8" s="38"/>
      <c r="X8" s="68"/>
    </row>
    <row r="9" spans="1:25" x14ac:dyDescent="0.25">
      <c r="A9" s="40" t="s">
        <v>34</v>
      </c>
      <c r="B9" s="108" t="str">
        <f t="shared" si="0"/>
        <v/>
      </c>
      <c r="C9" s="79">
        <v>0</v>
      </c>
      <c r="D9" s="38">
        <v>0</v>
      </c>
      <c r="E9" s="43"/>
      <c r="F9" s="38"/>
      <c r="G9" s="38"/>
      <c r="H9" s="38"/>
      <c r="I9" s="38"/>
      <c r="J9" s="38">
        <v>202</v>
      </c>
      <c r="K9" s="38">
        <v>100</v>
      </c>
      <c r="L9" s="38">
        <v>120</v>
      </c>
      <c r="M9" s="38"/>
      <c r="N9" s="38"/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/>
      <c r="X9" s="68"/>
    </row>
    <row r="10" spans="1:25" x14ac:dyDescent="0.25">
      <c r="A10" s="40" t="s">
        <v>133</v>
      </c>
      <c r="B10" s="108">
        <f t="shared" si="0"/>
        <v>0.37721001532958609</v>
      </c>
      <c r="C10" s="79">
        <v>13476</v>
      </c>
      <c r="D10" s="38">
        <v>9785</v>
      </c>
      <c r="E10" s="43">
        <v>13476</v>
      </c>
      <c r="F10" s="38">
        <v>9785</v>
      </c>
      <c r="G10" s="38">
        <v>8583</v>
      </c>
      <c r="H10" s="38">
        <v>10574</v>
      </c>
      <c r="I10" s="38">
        <v>8560</v>
      </c>
      <c r="J10" s="38">
        <v>6499</v>
      </c>
      <c r="K10" s="38">
        <v>6535</v>
      </c>
      <c r="L10" s="38">
        <v>6215</v>
      </c>
      <c r="M10" s="38">
        <f>4198</f>
        <v>4198</v>
      </c>
      <c r="N10" s="38"/>
      <c r="O10" s="38">
        <v>7000</v>
      </c>
      <c r="P10" s="38">
        <v>6000</v>
      </c>
      <c r="Q10" s="38">
        <v>5500</v>
      </c>
      <c r="R10" s="38">
        <v>3000</v>
      </c>
      <c r="S10" s="38">
        <v>3000</v>
      </c>
      <c r="T10" s="38">
        <v>5000</v>
      </c>
      <c r="U10" s="38">
        <v>5000</v>
      </c>
      <c r="V10" s="38"/>
      <c r="W10" s="38"/>
      <c r="X10" s="68"/>
    </row>
    <row r="11" spans="1:25" ht="13.8" thickBot="1" x14ac:dyDescent="0.3">
      <c r="A11" s="41" t="s">
        <v>6</v>
      </c>
      <c r="B11" s="108">
        <f t="shared" si="0"/>
        <v>0.3029356652092442</v>
      </c>
      <c r="C11" s="79">
        <v>-17785</v>
      </c>
      <c r="D11" s="38">
        <v>-12898</v>
      </c>
      <c r="E11" s="114">
        <v>2086</v>
      </c>
      <c r="F11" s="38">
        <v>1601</v>
      </c>
      <c r="G11" s="38">
        <v>1624</v>
      </c>
      <c r="H11" s="38">
        <v>1244</v>
      </c>
      <c r="I11" s="38">
        <v>1114</v>
      </c>
      <c r="J11" s="38">
        <v>441</v>
      </c>
      <c r="K11" s="38">
        <v>2462</v>
      </c>
      <c r="L11" s="38">
        <v>1860</v>
      </c>
      <c r="M11" s="38">
        <v>899</v>
      </c>
      <c r="N11" s="37">
        <v>6740</v>
      </c>
      <c r="O11" s="37">
        <v>2000</v>
      </c>
      <c r="P11" s="37">
        <v>1000</v>
      </c>
      <c r="Q11" s="37">
        <v>1000</v>
      </c>
      <c r="R11" s="37">
        <v>500</v>
      </c>
      <c r="S11" s="37">
        <v>500</v>
      </c>
      <c r="T11" s="37">
        <v>1000</v>
      </c>
      <c r="U11" s="37">
        <v>3000</v>
      </c>
      <c r="V11" s="37">
        <v>4000</v>
      </c>
      <c r="W11" s="37">
        <v>4500</v>
      </c>
      <c r="X11" s="69">
        <v>1000</v>
      </c>
    </row>
    <row r="12" spans="1:25" ht="13.8" thickBot="1" x14ac:dyDescent="0.3">
      <c r="A12" s="42" t="s">
        <v>90</v>
      </c>
      <c r="B12" s="109">
        <f t="shared" si="0"/>
        <v>0.22909482758620689</v>
      </c>
      <c r="C12" s="74">
        <v>-18173</v>
      </c>
      <c r="D12" s="46">
        <v>-17940</v>
      </c>
      <c r="E12" s="45">
        <f>SUM(E2:E11)</f>
        <v>96951</v>
      </c>
      <c r="F12" s="46">
        <f t="shared" ref="F12:L12" si="1">SUM(F2:F11)</f>
        <v>78880</v>
      </c>
      <c r="G12" s="46">
        <f t="shared" si="1"/>
        <v>58541</v>
      </c>
      <c r="H12" s="46">
        <f t="shared" si="1"/>
        <v>90122</v>
      </c>
      <c r="I12" s="46">
        <f t="shared" si="1"/>
        <v>77878</v>
      </c>
      <c r="J12" s="46">
        <f t="shared" si="1"/>
        <v>75391</v>
      </c>
      <c r="K12" s="46">
        <f t="shared" si="1"/>
        <v>80828</v>
      </c>
      <c r="L12" s="46">
        <f t="shared" si="1"/>
        <v>81504</v>
      </c>
      <c r="M12" s="46">
        <f t="shared" ref="M12:R12" si="2">SUM(M2:M11)</f>
        <v>66200</v>
      </c>
      <c r="N12" s="46">
        <f t="shared" si="2"/>
        <v>71479</v>
      </c>
      <c r="O12" s="46">
        <f t="shared" si="2"/>
        <v>95600</v>
      </c>
      <c r="P12" s="46">
        <f t="shared" si="2"/>
        <v>89500</v>
      </c>
      <c r="Q12" s="46">
        <f t="shared" si="2"/>
        <v>93700</v>
      </c>
      <c r="R12" s="46">
        <f t="shared" si="2"/>
        <v>43000</v>
      </c>
      <c r="S12" s="46">
        <f t="shared" ref="S12:X12" si="3">SUM(S2:S11)</f>
        <v>78500</v>
      </c>
      <c r="T12" s="46">
        <f t="shared" si="3"/>
        <v>92500</v>
      </c>
      <c r="U12" s="46">
        <f t="shared" si="3"/>
        <v>89300</v>
      </c>
      <c r="V12" s="46">
        <f t="shared" si="3"/>
        <v>68500</v>
      </c>
      <c r="W12" s="46">
        <f t="shared" si="3"/>
        <v>70300</v>
      </c>
      <c r="X12" s="35">
        <f t="shared" si="3"/>
        <v>55500</v>
      </c>
    </row>
    <row r="13" spans="1:25" x14ac:dyDescent="0.25">
      <c r="B13" s="110"/>
    </row>
    <row r="14" spans="1:25" ht="13.8" thickBot="1" x14ac:dyDescent="0.3">
      <c r="B14" s="111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5" s="53" customFormat="1" ht="13.8" thickBot="1" x14ac:dyDescent="0.3">
      <c r="A15" s="54" t="s">
        <v>89</v>
      </c>
      <c r="B15" s="24" t="s">
        <v>172</v>
      </c>
      <c r="C15" s="49" t="s">
        <v>179</v>
      </c>
      <c r="D15" s="83" t="s">
        <v>173</v>
      </c>
      <c r="E15" s="159">
        <v>46054</v>
      </c>
      <c r="F15" s="86">
        <v>45689</v>
      </c>
      <c r="G15" s="86">
        <v>45323</v>
      </c>
      <c r="H15" s="86">
        <v>44958</v>
      </c>
      <c r="I15" s="86">
        <v>44593</v>
      </c>
      <c r="J15" s="86">
        <v>44228</v>
      </c>
      <c r="K15" s="86">
        <v>43862</v>
      </c>
      <c r="L15" s="86">
        <v>43497</v>
      </c>
      <c r="M15" s="86">
        <v>43132</v>
      </c>
      <c r="N15" s="25">
        <v>42767</v>
      </c>
      <c r="O15" s="55">
        <v>42401</v>
      </c>
      <c r="P15" s="55">
        <v>42036</v>
      </c>
      <c r="Q15" s="55">
        <v>41671</v>
      </c>
      <c r="R15" s="55">
        <v>41306</v>
      </c>
      <c r="S15" s="55">
        <v>40940</v>
      </c>
      <c r="T15" s="55">
        <v>40575</v>
      </c>
      <c r="U15" s="55">
        <v>40210</v>
      </c>
      <c r="V15" s="55">
        <v>39845</v>
      </c>
      <c r="W15" s="55">
        <v>39479</v>
      </c>
      <c r="X15" s="70">
        <v>39114</v>
      </c>
    </row>
    <row r="16" spans="1:25" s="53" customFormat="1" x14ac:dyDescent="0.25">
      <c r="A16" s="56" t="s">
        <v>7</v>
      </c>
      <c r="B16" s="112">
        <f t="shared" ref="B16:B19" si="4">IFERROR(((E16-F16)/F16),"")</f>
        <v>0.63312297458638922</v>
      </c>
      <c r="C16" s="77">
        <v>-1599</v>
      </c>
      <c r="D16" s="59">
        <v>-1555</v>
      </c>
      <c r="E16" s="114">
        <v>9575</v>
      </c>
      <c r="F16" s="1">
        <v>5863</v>
      </c>
      <c r="G16" s="1">
        <v>4334</v>
      </c>
      <c r="H16" s="59">
        <v>4517</v>
      </c>
      <c r="I16" s="59">
        <v>4441</v>
      </c>
      <c r="J16" s="59">
        <v>4100</v>
      </c>
      <c r="K16" s="59">
        <v>3427</v>
      </c>
      <c r="L16" s="59">
        <v>4913</v>
      </c>
      <c r="M16" s="59">
        <v>5808</v>
      </c>
      <c r="N16" s="59">
        <v>5280</v>
      </c>
      <c r="O16" s="59">
        <v>8400</v>
      </c>
      <c r="P16" s="59">
        <v>6000</v>
      </c>
      <c r="Q16" s="59">
        <v>9000</v>
      </c>
      <c r="R16" s="59">
        <v>6000</v>
      </c>
      <c r="S16" s="59">
        <v>7000</v>
      </c>
      <c r="T16" s="59">
        <v>8000</v>
      </c>
      <c r="U16" s="59">
        <v>11000</v>
      </c>
      <c r="V16" s="59">
        <v>4500</v>
      </c>
      <c r="W16" s="59">
        <v>5000</v>
      </c>
      <c r="X16" s="71">
        <v>5500</v>
      </c>
    </row>
    <row r="17" spans="1:24" s="53" customFormat="1" x14ac:dyDescent="0.25">
      <c r="A17" s="56" t="s">
        <v>91</v>
      </c>
      <c r="B17" s="112" t="str">
        <f t="shared" si="4"/>
        <v/>
      </c>
      <c r="C17" s="77">
        <v>0</v>
      </c>
      <c r="D17" s="59">
        <v>0</v>
      </c>
      <c r="E17" s="114"/>
      <c r="F17" s="1"/>
      <c r="G17" s="1">
        <v>210</v>
      </c>
      <c r="H17" s="59">
        <v>174</v>
      </c>
      <c r="I17" s="59"/>
      <c r="J17" s="59">
        <v>322</v>
      </c>
      <c r="K17" s="59">
        <v>160</v>
      </c>
      <c r="L17" s="59">
        <v>94</v>
      </c>
      <c r="M17" s="59">
        <v>112</v>
      </c>
      <c r="N17" s="59"/>
      <c r="O17" s="59">
        <v>0</v>
      </c>
      <c r="P17" s="59">
        <v>0</v>
      </c>
      <c r="Q17" s="59">
        <v>0</v>
      </c>
      <c r="R17" s="59">
        <v>0</v>
      </c>
      <c r="S17" s="59">
        <v>500</v>
      </c>
      <c r="T17" s="59">
        <v>0</v>
      </c>
      <c r="U17" s="59">
        <v>0</v>
      </c>
      <c r="V17" s="59">
        <v>0</v>
      </c>
      <c r="W17" s="59">
        <v>0</v>
      </c>
      <c r="X17" s="71">
        <v>0</v>
      </c>
    </row>
    <row r="18" spans="1:24" s="53" customFormat="1" ht="13.8" thickBot="1" x14ac:dyDescent="0.3">
      <c r="A18" s="60" t="s">
        <v>6</v>
      </c>
      <c r="B18" s="113" t="str">
        <f t="shared" si="4"/>
        <v/>
      </c>
      <c r="C18" s="77">
        <v>-152</v>
      </c>
      <c r="D18" s="59">
        <v>-126</v>
      </c>
      <c r="E18" s="114">
        <v>396</v>
      </c>
      <c r="F18" s="59"/>
      <c r="G18" s="59"/>
      <c r="H18" s="59"/>
      <c r="I18" s="59">
        <v>36</v>
      </c>
      <c r="J18" s="59">
        <v>292</v>
      </c>
      <c r="K18" s="59">
        <v>110</v>
      </c>
      <c r="L18" s="59">
        <v>16</v>
      </c>
      <c r="M18" s="59">
        <v>13</v>
      </c>
      <c r="N18" s="63">
        <v>10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72">
        <v>0</v>
      </c>
    </row>
    <row r="19" spans="1:24" s="53" customFormat="1" ht="13.8" thickBot="1" x14ac:dyDescent="0.3">
      <c r="A19" s="64" t="s">
        <v>90</v>
      </c>
      <c r="B19" s="65">
        <f t="shared" si="4"/>
        <v>0.70066518847006654</v>
      </c>
      <c r="C19" s="91">
        <v>-1751</v>
      </c>
      <c r="D19" s="89">
        <v>-1681</v>
      </c>
      <c r="E19" s="66">
        <f t="shared" ref="E19" si="5">SUM(E16:E18)</f>
        <v>9971</v>
      </c>
      <c r="F19" s="89">
        <f t="shared" ref="F19:L19" si="6">SUM(F16:F18)</f>
        <v>5863</v>
      </c>
      <c r="G19" s="89">
        <f t="shared" si="6"/>
        <v>4544</v>
      </c>
      <c r="H19" s="89">
        <f t="shared" si="6"/>
        <v>4691</v>
      </c>
      <c r="I19" s="89">
        <f t="shared" si="6"/>
        <v>4477</v>
      </c>
      <c r="J19" s="89">
        <f t="shared" si="6"/>
        <v>4714</v>
      </c>
      <c r="K19" s="89">
        <f t="shared" si="6"/>
        <v>3697</v>
      </c>
      <c r="L19" s="89">
        <f t="shared" si="6"/>
        <v>5023</v>
      </c>
      <c r="M19" s="89">
        <f t="shared" ref="M19:R19" si="7">SUM(M16:M18)</f>
        <v>5933</v>
      </c>
      <c r="N19" s="89">
        <f t="shared" si="7"/>
        <v>5290</v>
      </c>
      <c r="O19" s="89">
        <f t="shared" si="7"/>
        <v>8400</v>
      </c>
      <c r="P19" s="89">
        <f t="shared" si="7"/>
        <v>6000</v>
      </c>
      <c r="Q19" s="89">
        <f t="shared" si="7"/>
        <v>9000</v>
      </c>
      <c r="R19" s="89">
        <f t="shared" si="7"/>
        <v>6000</v>
      </c>
      <c r="S19" s="89">
        <f t="shared" ref="S19:X19" si="8">SUM(S16:S18)</f>
        <v>7500</v>
      </c>
      <c r="T19" s="89">
        <f t="shared" si="8"/>
        <v>8000</v>
      </c>
      <c r="U19" s="89">
        <f t="shared" si="8"/>
        <v>11000</v>
      </c>
      <c r="V19" s="89">
        <f t="shared" si="8"/>
        <v>4500</v>
      </c>
      <c r="W19" s="67">
        <f t="shared" si="8"/>
        <v>5000</v>
      </c>
      <c r="X19" s="73">
        <f t="shared" si="8"/>
        <v>5500</v>
      </c>
    </row>
    <row r="20" spans="1:24" s="53" customFormat="1" x14ac:dyDescent="0.25">
      <c r="B20" s="53" t="s">
        <v>178</v>
      </c>
    </row>
    <row r="21" spans="1:24" s="53" customFormat="1" x14ac:dyDescent="0.25">
      <c r="F21" s="59"/>
      <c r="G21" s="59"/>
      <c r="H21" s="59"/>
    </row>
    <row r="22" spans="1:24" x14ac:dyDescent="0.25">
      <c r="A22" s="53"/>
      <c r="B22" s="53"/>
      <c r="C22" s="53"/>
      <c r="D22" s="53"/>
      <c r="E22" s="53"/>
    </row>
    <row r="25" spans="1:24" x14ac:dyDescent="0.25">
      <c r="E25" s="1"/>
      <c r="F25" s="1"/>
    </row>
  </sheetData>
  <conditionalFormatting sqref="E1">
    <cfRule type="expression" dxfId="1" priority="3">
      <formula>ISBLANK(XFD1)=FALSE</formula>
    </cfRule>
  </conditionalFormatting>
  <conditionalFormatting sqref="E15">
    <cfRule type="expression" dxfId="0" priority="1">
      <formula>ISBLANK(XFD15)=FALSE</formula>
    </cfRule>
  </conditionalFormatting>
  <pageMargins left="0.75" right="0.75" top="1" bottom="1" header="0.5" footer="0.5"/>
  <pageSetup paperSize="9" scale="66" fitToHeight="3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Y59"/>
  <sheetViews>
    <sheetView zoomScaleNormal="100" workbookViewId="0"/>
  </sheetViews>
  <sheetFormatPr defaultColWidth="9.109375" defaultRowHeight="13.2" x14ac:dyDescent="0.25"/>
  <cols>
    <col min="1" max="1" width="25" customWidth="1"/>
    <col min="2" max="2" width="10.6640625" customWidth="1"/>
    <col min="3" max="4" width="11.33203125" bestFit="1" customWidth="1"/>
    <col min="5" max="5" width="11.33203125" customWidth="1"/>
    <col min="6" max="7" width="11.44140625" customWidth="1"/>
    <col min="8" max="8" width="13.33203125" bestFit="1" customWidth="1"/>
    <col min="9" max="13" width="11.44140625" customWidth="1"/>
    <col min="14" max="24" width="10.109375" bestFit="1" customWidth="1"/>
  </cols>
  <sheetData>
    <row r="1" spans="1:24" ht="13.8" thickBot="1" x14ac:dyDescent="0.3">
      <c r="A1" s="39" t="s">
        <v>89</v>
      </c>
      <c r="B1" s="24" t="s">
        <v>172</v>
      </c>
      <c r="C1" s="49" t="s">
        <v>179</v>
      </c>
      <c r="D1" s="83" t="s">
        <v>173</v>
      </c>
      <c r="E1" s="159">
        <v>46054</v>
      </c>
      <c r="F1" s="86">
        <v>45689</v>
      </c>
      <c r="G1" s="86">
        <v>45323</v>
      </c>
      <c r="H1" s="86">
        <v>44958</v>
      </c>
      <c r="I1" s="86">
        <v>44593</v>
      </c>
      <c r="J1" s="86">
        <v>44228</v>
      </c>
      <c r="K1" s="86">
        <v>43862</v>
      </c>
      <c r="L1" s="86">
        <v>43497</v>
      </c>
      <c r="M1" s="86">
        <v>43132</v>
      </c>
      <c r="N1" s="25">
        <v>42767</v>
      </c>
      <c r="O1" s="25">
        <v>42401</v>
      </c>
      <c r="P1" s="25">
        <v>42036</v>
      </c>
      <c r="Q1" s="25">
        <v>41671</v>
      </c>
      <c r="R1" s="25">
        <v>41306</v>
      </c>
      <c r="S1" s="25">
        <v>40940</v>
      </c>
      <c r="T1" s="25">
        <v>40575</v>
      </c>
      <c r="U1" s="25">
        <v>40210</v>
      </c>
      <c r="V1" s="25">
        <v>39845</v>
      </c>
      <c r="W1" s="25">
        <v>39479</v>
      </c>
      <c r="X1" s="26">
        <v>39114</v>
      </c>
    </row>
    <row r="2" spans="1:24" x14ac:dyDescent="0.25">
      <c r="A2" s="20" t="s">
        <v>11</v>
      </c>
      <c r="B2" s="27" t="str">
        <f t="shared" ref="B2:B27" si="0">IFERROR(((E2-F2)/F2),"")</f>
        <v/>
      </c>
      <c r="C2" s="50">
        <v>0</v>
      </c>
      <c r="D2" s="1">
        <v>0</v>
      </c>
      <c r="E2" s="114"/>
      <c r="F2" s="1"/>
      <c r="G2" s="1"/>
      <c r="H2" s="1"/>
      <c r="I2" s="1">
        <v>1804.8041241004375</v>
      </c>
      <c r="J2" s="1">
        <v>3561.4250000000002</v>
      </c>
      <c r="K2" s="1">
        <v>6231</v>
      </c>
      <c r="L2" s="1">
        <v>8728</v>
      </c>
      <c r="M2" s="1">
        <v>10176</v>
      </c>
      <c r="N2" s="1">
        <v>14559</v>
      </c>
      <c r="O2" s="1">
        <v>11129</v>
      </c>
      <c r="P2" s="1">
        <v>29137</v>
      </c>
      <c r="Q2" s="1">
        <v>13587</v>
      </c>
      <c r="R2" s="1">
        <v>27117</v>
      </c>
      <c r="S2" s="1">
        <v>22582</v>
      </c>
      <c r="T2" s="1">
        <v>38264.972776769508</v>
      </c>
      <c r="U2" s="1">
        <v>33367.513611615243</v>
      </c>
      <c r="V2" s="1">
        <v>41352.08711433757</v>
      </c>
      <c r="W2" s="1">
        <v>37350.272232304902</v>
      </c>
      <c r="X2" s="29">
        <v>34244.101633393831</v>
      </c>
    </row>
    <row r="3" spans="1:24" x14ac:dyDescent="0.25">
      <c r="A3" s="20" t="s">
        <v>32</v>
      </c>
      <c r="B3" s="27">
        <f t="shared" si="0"/>
        <v>-0.27471058944758414</v>
      </c>
      <c r="C3" s="50">
        <v>-363.45267986412023</v>
      </c>
      <c r="D3" s="1">
        <v>-435.42690276623989</v>
      </c>
      <c r="E3" s="114">
        <v>1716.3699412767598</v>
      </c>
      <c r="F3" s="1">
        <v>2366.46215469972</v>
      </c>
      <c r="G3" s="1">
        <v>2498.1037323211199</v>
      </c>
      <c r="H3" s="1">
        <v>2732.4867033017399</v>
      </c>
      <c r="I3" s="1">
        <v>2154.7497303705036</v>
      </c>
      <c r="J3" s="1">
        <v>4334.366</v>
      </c>
      <c r="K3" s="1">
        <v>2668</v>
      </c>
      <c r="L3" s="1">
        <v>4059</v>
      </c>
      <c r="M3" s="1">
        <v>2839</v>
      </c>
      <c r="N3" s="1">
        <v>2249</v>
      </c>
      <c r="O3" s="1">
        <v>5660</v>
      </c>
      <c r="P3" s="1">
        <v>3544</v>
      </c>
      <c r="Q3" s="1">
        <v>5755</v>
      </c>
      <c r="R3" s="1">
        <v>781</v>
      </c>
      <c r="S3" s="1">
        <v>2858</v>
      </c>
      <c r="T3" s="1">
        <v>3792.196007259528</v>
      </c>
      <c r="U3" s="1">
        <v>3563.5208711433756</v>
      </c>
      <c r="V3" s="1">
        <v>4325.7713248638838</v>
      </c>
      <c r="W3" s="1">
        <v>3849.3647912885663</v>
      </c>
      <c r="X3" s="29">
        <v>2667.8765880217784</v>
      </c>
    </row>
    <row r="4" spans="1:24" x14ac:dyDescent="0.25">
      <c r="A4" s="40" t="s">
        <v>165</v>
      </c>
      <c r="B4" s="27">
        <f t="shared" si="0"/>
        <v>0.11263737110866606</v>
      </c>
      <c r="C4" s="50">
        <v>-25364.893495062657</v>
      </c>
      <c r="D4" s="1">
        <v>-26562.374630308419</v>
      </c>
      <c r="E4" s="114">
        <v>213097.68998289155</v>
      </c>
      <c r="F4" s="1">
        <v>191524.83595850682</v>
      </c>
      <c r="G4" s="1">
        <v>122633.23587475422</v>
      </c>
      <c r="H4" s="1">
        <v>89451.328334200138</v>
      </c>
      <c r="I4" s="1">
        <v>55583.989198645533</v>
      </c>
      <c r="J4" s="1">
        <v>19691.464</v>
      </c>
      <c r="K4" s="1">
        <v>762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29"/>
    </row>
    <row r="5" spans="1:24" x14ac:dyDescent="0.25">
      <c r="A5" s="20" t="s">
        <v>48</v>
      </c>
      <c r="B5" s="27">
        <f t="shared" si="0"/>
        <v>-0.19157247265378805</v>
      </c>
      <c r="C5" s="50">
        <v>-3304.013089501741</v>
      </c>
      <c r="D5" s="1">
        <v>-3165.2845846914606</v>
      </c>
      <c r="E5" s="114">
        <v>8528.1833787196192</v>
      </c>
      <c r="F5" s="1">
        <v>10549.100680322819</v>
      </c>
      <c r="G5" s="1">
        <v>13058.425380692999</v>
      </c>
      <c r="H5" s="1">
        <v>14358.49550226168</v>
      </c>
      <c r="I5" s="1">
        <v>11859.591632993293</v>
      </c>
      <c r="J5" s="1">
        <v>17223.773000000001</v>
      </c>
      <c r="K5" s="1">
        <v>9261</v>
      </c>
      <c r="L5" s="1">
        <v>20619</v>
      </c>
      <c r="M5" s="1">
        <v>18142</v>
      </c>
      <c r="N5" s="1">
        <v>12558</v>
      </c>
      <c r="O5" s="1">
        <v>21438</v>
      </c>
      <c r="P5" s="1">
        <v>19152</v>
      </c>
      <c r="Q5" s="1">
        <v>24964</v>
      </c>
      <c r="R5" s="1">
        <v>3068</v>
      </c>
      <c r="S5" s="1">
        <v>21781</v>
      </c>
      <c r="T5" s="1">
        <v>20047.186932849363</v>
      </c>
      <c r="U5" s="1">
        <v>28851.179673321236</v>
      </c>
      <c r="V5" s="1">
        <v>22524.500907441015</v>
      </c>
      <c r="W5" s="1">
        <v>25535.390199637022</v>
      </c>
      <c r="X5" s="29">
        <v>29384.75499092559</v>
      </c>
    </row>
    <row r="6" spans="1:24" x14ac:dyDescent="0.25">
      <c r="A6" s="20" t="s">
        <v>12</v>
      </c>
      <c r="B6" s="27">
        <f t="shared" si="0"/>
        <v>-0.13508268832426396</v>
      </c>
      <c r="C6" s="50">
        <v>-23588.81809730755</v>
      </c>
      <c r="D6" s="1">
        <v>-29934.81847911785</v>
      </c>
      <c r="E6" s="114">
        <v>156399.31958552284</v>
      </c>
      <c r="F6" s="1">
        <v>180825.74770356558</v>
      </c>
      <c r="G6" s="1">
        <v>193240.57722075874</v>
      </c>
      <c r="H6" s="1">
        <v>164516.21352585341</v>
      </c>
      <c r="I6" s="1">
        <v>173778.92261602078</v>
      </c>
      <c r="J6" s="1">
        <v>214836.87899999999</v>
      </c>
      <c r="K6" s="1">
        <v>212782</v>
      </c>
      <c r="L6" s="1">
        <v>192754</v>
      </c>
      <c r="M6" s="1">
        <v>201120</v>
      </c>
      <c r="N6" s="1">
        <v>177319</v>
      </c>
      <c r="O6" s="1">
        <v>152907</v>
      </c>
      <c r="P6" s="1">
        <v>183798</v>
      </c>
      <c r="Q6" s="1">
        <v>148391</v>
      </c>
      <c r="R6" s="1">
        <v>231381</v>
      </c>
      <c r="S6" s="1">
        <v>138310</v>
      </c>
      <c r="T6" s="1">
        <v>164703.26678765879</v>
      </c>
      <c r="U6" s="1">
        <v>130859.34664246824</v>
      </c>
      <c r="V6" s="1">
        <v>175736.84210526315</v>
      </c>
      <c r="W6" s="1">
        <v>114242.28675136116</v>
      </c>
      <c r="X6" s="29">
        <v>117367.51361161524</v>
      </c>
    </row>
    <row r="7" spans="1:24" x14ac:dyDescent="0.25">
      <c r="A7" s="20" t="s">
        <v>9</v>
      </c>
      <c r="B7" s="27">
        <f t="shared" si="0"/>
        <v>-0.20618701731454345</v>
      </c>
      <c r="C7" s="50">
        <v>-48430.650643719942</v>
      </c>
      <c r="D7" s="1">
        <v>-56065.366822893149</v>
      </c>
      <c r="E7" s="114">
        <v>237249.175807413</v>
      </c>
      <c r="F7" s="1">
        <v>298872.88439753512</v>
      </c>
      <c r="G7" s="1">
        <v>287766.6026433059</v>
      </c>
      <c r="H7" s="1">
        <v>288567.38731389027</v>
      </c>
      <c r="I7" s="1">
        <v>262700.84605863446</v>
      </c>
      <c r="J7" s="1">
        <v>289607.74099999998</v>
      </c>
      <c r="K7" s="1">
        <v>356867</v>
      </c>
      <c r="L7" s="1">
        <v>294953</v>
      </c>
      <c r="M7" s="1">
        <v>337239</v>
      </c>
      <c r="N7" s="1">
        <v>306139</v>
      </c>
      <c r="O7" s="1">
        <v>233020</v>
      </c>
      <c r="P7" s="1">
        <v>304252</v>
      </c>
      <c r="Q7" s="1">
        <v>234049</v>
      </c>
      <c r="R7" s="1">
        <v>229171</v>
      </c>
      <c r="S7" s="1">
        <v>207999</v>
      </c>
      <c r="T7" s="1">
        <v>181167.87658802178</v>
      </c>
      <c r="U7" s="1">
        <v>157347.5499092559</v>
      </c>
      <c r="V7" s="1">
        <v>164989.11070780398</v>
      </c>
      <c r="W7" s="1">
        <v>138310.3448275862</v>
      </c>
      <c r="X7" s="29">
        <v>106753.17604355716</v>
      </c>
    </row>
    <row r="8" spans="1:24" x14ac:dyDescent="0.25">
      <c r="A8" s="20" t="s">
        <v>3</v>
      </c>
      <c r="B8" s="27">
        <f t="shared" si="0"/>
        <v>-0.10802185170726701</v>
      </c>
      <c r="C8" s="50">
        <v>-10748.087117118121</v>
      </c>
      <c r="D8" s="1">
        <v>-5508.390361075144</v>
      </c>
      <c r="E8" s="114">
        <v>64292.946373351078</v>
      </c>
      <c r="F8" s="1">
        <v>72079.059892228615</v>
      </c>
      <c r="G8" s="1">
        <v>80727.682931400122</v>
      </c>
      <c r="H8" s="1">
        <v>55645.333030795198</v>
      </c>
      <c r="I8" s="1">
        <v>67030.291050898304</v>
      </c>
      <c r="J8" s="1">
        <v>65440.553999999996</v>
      </c>
      <c r="K8" s="1">
        <v>112127</v>
      </c>
      <c r="L8" s="1">
        <v>68583</v>
      </c>
      <c r="M8" s="1">
        <v>111536</v>
      </c>
      <c r="N8" s="1">
        <v>100674</v>
      </c>
      <c r="O8" s="1">
        <v>114776</v>
      </c>
      <c r="P8" s="1">
        <v>175546</v>
      </c>
      <c r="Q8" s="1">
        <v>144351</v>
      </c>
      <c r="R8" s="1">
        <v>166723</v>
      </c>
      <c r="S8" s="1">
        <v>147476</v>
      </c>
      <c r="T8" s="1">
        <v>155441.92377495463</v>
      </c>
      <c r="U8" s="1">
        <v>148715.06352087113</v>
      </c>
      <c r="V8" s="1">
        <v>197480.03629764065</v>
      </c>
      <c r="W8" s="1">
        <v>149610.70780399273</v>
      </c>
      <c r="X8" s="29">
        <v>121102.54083484574</v>
      </c>
    </row>
    <row r="9" spans="1:24" x14ac:dyDescent="0.25">
      <c r="A9" s="20" t="s">
        <v>17</v>
      </c>
      <c r="B9" s="27">
        <f t="shared" si="0"/>
        <v>0.10258866597183347</v>
      </c>
      <c r="C9" s="50">
        <v>-34083.56661830275</v>
      </c>
      <c r="D9" s="1">
        <v>-30288.917177127849</v>
      </c>
      <c r="E9" s="114">
        <v>244505.78918035576</v>
      </c>
      <c r="F9" s="1">
        <v>221756.12422502614</v>
      </c>
      <c r="G9" s="1">
        <v>239904.46834681864</v>
      </c>
      <c r="H9" s="1">
        <v>146190.62002082076</v>
      </c>
      <c r="I9" s="1">
        <v>210498.84519944602</v>
      </c>
      <c r="J9" s="1">
        <v>165911.43400000001</v>
      </c>
      <c r="K9" s="1">
        <v>210438</v>
      </c>
      <c r="L9" s="1">
        <v>161997</v>
      </c>
      <c r="M9" s="1">
        <v>258593</v>
      </c>
      <c r="N9" s="1">
        <v>159939</v>
      </c>
      <c r="O9" s="1">
        <v>207789</v>
      </c>
      <c r="P9" s="1">
        <v>198719</v>
      </c>
      <c r="Q9" s="1">
        <v>190944</v>
      </c>
      <c r="R9" s="1">
        <v>148848</v>
      </c>
      <c r="S9" s="1">
        <v>147953</v>
      </c>
      <c r="T9" s="1">
        <v>151039.92740471871</v>
      </c>
      <c r="U9" s="1">
        <v>126171.50635208712</v>
      </c>
      <c r="V9" s="1">
        <v>202682.39564428313</v>
      </c>
      <c r="W9" s="1">
        <v>134956.44283121597</v>
      </c>
      <c r="X9" s="29">
        <v>157461.88747731398</v>
      </c>
    </row>
    <row r="10" spans="1:24" x14ac:dyDescent="0.25">
      <c r="A10" s="20" t="s">
        <v>157</v>
      </c>
      <c r="B10" s="27">
        <f t="shared" si="0"/>
        <v>0.2133147159569688</v>
      </c>
      <c r="C10" s="50">
        <v>-28937.63829135563</v>
      </c>
      <c r="D10" s="1">
        <v>-37887.112820222799</v>
      </c>
      <c r="E10" s="114">
        <v>171799.70768982713</v>
      </c>
      <c r="F10" s="1">
        <v>141595.33831609783</v>
      </c>
      <c r="G10" s="1">
        <v>249195.0869756086</v>
      </c>
      <c r="H10" s="1">
        <v>125567.73810469812</v>
      </c>
      <c r="I10" s="1">
        <v>150498.70971639463</v>
      </c>
      <c r="J10" s="1">
        <v>169169.69200000001</v>
      </c>
      <c r="K10" s="1">
        <v>158586</v>
      </c>
      <c r="L10" s="1">
        <v>124666</v>
      </c>
      <c r="M10" s="1">
        <v>109612</v>
      </c>
      <c r="N10" s="1">
        <v>60504</v>
      </c>
      <c r="O10" s="1">
        <v>56044</v>
      </c>
      <c r="P10" s="1">
        <v>33672</v>
      </c>
      <c r="Q10" s="1">
        <v>19609</v>
      </c>
      <c r="R10" s="1"/>
      <c r="S10" s="1"/>
      <c r="T10" s="1"/>
      <c r="U10" s="1"/>
      <c r="V10" s="1"/>
      <c r="W10" s="1"/>
      <c r="X10" s="29"/>
    </row>
    <row r="11" spans="1:24" x14ac:dyDescent="0.25">
      <c r="A11" s="21" t="s">
        <v>10</v>
      </c>
      <c r="B11" s="27">
        <f t="shared" si="0"/>
        <v>-0.66838652537049048</v>
      </c>
      <c r="C11" s="50">
        <v>-2290.18243302156</v>
      </c>
      <c r="D11" s="1">
        <v>1139.7188684805001</v>
      </c>
      <c r="E11" s="114">
        <v>613.43832118800003</v>
      </c>
      <c r="F11" s="1">
        <v>1849.8594542135399</v>
      </c>
      <c r="G11" s="1">
        <v>1639.46154057378</v>
      </c>
      <c r="H11" s="1">
        <v>2100.72143599626</v>
      </c>
      <c r="I11" s="1">
        <v>1043.0166039348808</v>
      </c>
      <c r="J11" s="1">
        <v>2910.1770000000001</v>
      </c>
      <c r="K11" s="1">
        <v>2325</v>
      </c>
      <c r="L11" s="1">
        <v>1658</v>
      </c>
      <c r="M11" s="1">
        <v>2115</v>
      </c>
      <c r="N11" s="84">
        <v>3525</v>
      </c>
      <c r="O11" s="84">
        <v>3887</v>
      </c>
      <c r="P11" s="84">
        <v>4974</v>
      </c>
      <c r="Q11" s="84">
        <v>7985</v>
      </c>
      <c r="R11" s="84">
        <v>915</v>
      </c>
      <c r="S11" s="84">
        <v>6231</v>
      </c>
      <c r="T11" s="84">
        <v>2229.5825771324862</v>
      </c>
      <c r="U11" s="84">
        <v>6002.7223230490017</v>
      </c>
      <c r="V11" s="84">
        <v>6098.0036297640654</v>
      </c>
      <c r="W11" s="1">
        <v>4706.8965517241377</v>
      </c>
      <c r="X11" s="29">
        <v>5030.8529945553537</v>
      </c>
    </row>
    <row r="12" spans="1:24" x14ac:dyDescent="0.25">
      <c r="A12" s="21" t="s">
        <v>26</v>
      </c>
      <c r="B12" s="27" t="str">
        <f t="shared" si="0"/>
        <v/>
      </c>
      <c r="C12" s="50">
        <v>0</v>
      </c>
      <c r="D12" s="1">
        <v>0</v>
      </c>
      <c r="E12" s="114"/>
      <c r="F12" s="1"/>
      <c r="G12" s="1"/>
      <c r="H12" s="1"/>
      <c r="I12" s="1"/>
      <c r="J12" s="1"/>
      <c r="K12" s="1"/>
      <c r="L12" s="1">
        <v>8823</v>
      </c>
      <c r="M12" s="1">
        <v>7813</v>
      </c>
      <c r="N12" s="84">
        <v>10805</v>
      </c>
      <c r="O12" s="84">
        <v>8975</v>
      </c>
      <c r="P12" s="84">
        <v>18446</v>
      </c>
      <c r="Q12" s="84">
        <v>17093</v>
      </c>
      <c r="R12" s="84">
        <v>9052</v>
      </c>
      <c r="S12" s="84">
        <v>11358</v>
      </c>
      <c r="T12" s="84">
        <v>11205.08166969147</v>
      </c>
      <c r="U12" s="84">
        <v>13549.001814882033</v>
      </c>
      <c r="V12" s="84">
        <v>13549.001814882033</v>
      </c>
      <c r="W12" s="1">
        <v>6841.1978221415611</v>
      </c>
      <c r="X12" s="29">
        <v>9547.1869328493649</v>
      </c>
    </row>
    <row r="13" spans="1:24" x14ac:dyDescent="0.25">
      <c r="A13" s="21" t="s">
        <v>49</v>
      </c>
      <c r="B13" s="27">
        <f t="shared" si="0"/>
        <v>-0.34504690729845766</v>
      </c>
      <c r="C13" s="50">
        <v>-72.088528179359969</v>
      </c>
      <c r="D13" s="1">
        <v>-341.8870842248399</v>
      </c>
      <c r="E13" s="114">
        <v>549.29400977681996</v>
      </c>
      <c r="F13" s="1">
        <v>838.67686998941997</v>
      </c>
      <c r="G13" s="1">
        <v>2188.1649730848599</v>
      </c>
      <c r="H13" s="1">
        <v>1167.45694909074</v>
      </c>
      <c r="I13" s="1">
        <v>834.59998176739657</v>
      </c>
      <c r="J13" s="1">
        <v>1326.8109999999999</v>
      </c>
      <c r="K13" s="1">
        <v>1315</v>
      </c>
      <c r="L13" s="1">
        <v>2172</v>
      </c>
      <c r="M13" s="1">
        <v>305</v>
      </c>
      <c r="N13" s="84">
        <v>3182</v>
      </c>
      <c r="O13" s="84">
        <v>3849</v>
      </c>
      <c r="P13" s="84">
        <v>3602</v>
      </c>
      <c r="Q13" s="84">
        <v>5450</v>
      </c>
      <c r="R13" s="84">
        <v>19</v>
      </c>
      <c r="S13" s="84">
        <v>6364.7912885662436</v>
      </c>
      <c r="T13" s="84">
        <v>2134.301270417423</v>
      </c>
      <c r="U13" s="84">
        <v>10500</v>
      </c>
      <c r="V13" s="84">
        <v>3563.5208711433756</v>
      </c>
      <c r="W13" s="1">
        <v>2324.8638838475499</v>
      </c>
      <c r="X13" s="29">
        <v>3392.0145190562612</v>
      </c>
    </row>
    <row r="14" spans="1:24" x14ac:dyDescent="0.25">
      <c r="A14" s="21" t="s">
        <v>50</v>
      </c>
      <c r="B14" s="27">
        <f t="shared" si="0"/>
        <v>-0.18824965008340475</v>
      </c>
      <c r="C14" s="50">
        <v>-2887.5227609982594</v>
      </c>
      <c r="D14" s="1">
        <v>-2732.8296191334612</v>
      </c>
      <c r="E14" s="114">
        <v>11291.81827006926</v>
      </c>
      <c r="F14" s="1">
        <v>13910.456917239959</v>
      </c>
      <c r="G14" s="1">
        <v>17096.69746942542</v>
      </c>
      <c r="H14" s="1">
        <v>14520.61848714708</v>
      </c>
      <c r="I14" s="1">
        <v>18356.398777238646</v>
      </c>
      <c r="J14" s="1">
        <v>16231.933000000001</v>
      </c>
      <c r="K14" s="1">
        <v>21800</v>
      </c>
      <c r="L14" s="1">
        <v>25593</v>
      </c>
      <c r="M14" s="1">
        <v>24792</v>
      </c>
      <c r="N14" s="84">
        <v>17113</v>
      </c>
      <c r="O14" s="84">
        <v>34987</v>
      </c>
      <c r="P14" s="84">
        <v>30280</v>
      </c>
      <c r="Q14" s="84">
        <v>32967</v>
      </c>
      <c r="R14" s="84">
        <v>10462</v>
      </c>
      <c r="S14" s="84">
        <v>20371</v>
      </c>
      <c r="T14" s="84">
        <v>19780.399274047188</v>
      </c>
      <c r="U14" s="84">
        <v>37617.059891107077</v>
      </c>
      <c r="V14" s="84">
        <v>27212.341197822141</v>
      </c>
      <c r="W14" s="1">
        <v>25687.840290381126</v>
      </c>
      <c r="X14" s="29">
        <v>23229.582577132485</v>
      </c>
    </row>
    <row r="15" spans="1:24" x14ac:dyDescent="0.25">
      <c r="A15" s="21" t="s">
        <v>51</v>
      </c>
      <c r="B15" s="27">
        <f t="shared" si="0"/>
        <v>-0.61581866870696256</v>
      </c>
      <c r="C15" s="50">
        <v>72.641003686019985</v>
      </c>
      <c r="D15" s="1">
        <v>592.00608170550004</v>
      </c>
      <c r="E15" s="114">
        <v>382.63691556089998</v>
      </c>
      <c r="F15" s="1">
        <v>995.97998235119996</v>
      </c>
      <c r="G15" s="1">
        <v>860.16626211053995</v>
      </c>
      <c r="H15" s="1">
        <v>848.35471679573993</v>
      </c>
      <c r="I15" s="1">
        <v>579.79446792003807</v>
      </c>
      <c r="J15" s="1">
        <v>738.16300000000001</v>
      </c>
      <c r="K15" s="1">
        <v>953</v>
      </c>
      <c r="L15" s="1">
        <v>1582</v>
      </c>
      <c r="M15" s="1">
        <v>1753</v>
      </c>
      <c r="N15" s="84">
        <v>1220</v>
      </c>
      <c r="O15" s="84">
        <v>953</v>
      </c>
      <c r="P15" s="84">
        <v>1105</v>
      </c>
      <c r="Q15" s="84">
        <v>1696</v>
      </c>
      <c r="R15" s="84">
        <v>1201</v>
      </c>
      <c r="S15" s="84">
        <v>2420</v>
      </c>
      <c r="T15" s="84">
        <v>2667.8765880217784</v>
      </c>
      <c r="U15" s="84">
        <v>2820.3266787658804</v>
      </c>
      <c r="V15" s="84">
        <v>3582.5771324863886</v>
      </c>
      <c r="W15" s="1">
        <v>4497.2776769509983</v>
      </c>
      <c r="X15" s="29">
        <v>2953.720508166969</v>
      </c>
    </row>
    <row r="16" spans="1:24" x14ac:dyDescent="0.25">
      <c r="A16" s="21" t="s">
        <v>52</v>
      </c>
      <c r="B16" s="27">
        <f t="shared" si="0"/>
        <v>-0.14951297595531648</v>
      </c>
      <c r="C16" s="50">
        <v>-73.517344144860033</v>
      </c>
      <c r="D16" s="1">
        <v>-82.737969842219968</v>
      </c>
      <c r="E16" s="114">
        <v>475.73856387287998</v>
      </c>
      <c r="F16" s="1">
        <v>559.37192505348003</v>
      </c>
      <c r="G16" s="1">
        <v>763.71165899951995</v>
      </c>
      <c r="H16" s="1">
        <v>649.59689055491992</v>
      </c>
      <c r="I16" s="1">
        <v>678.97334680522295</v>
      </c>
      <c r="J16" s="1">
        <v>772.16</v>
      </c>
      <c r="K16" s="1">
        <v>438</v>
      </c>
      <c r="L16" s="1">
        <v>572</v>
      </c>
      <c r="M16" s="1">
        <v>0</v>
      </c>
      <c r="N16" s="84">
        <v>0</v>
      </c>
      <c r="O16" s="84">
        <v>0</v>
      </c>
      <c r="P16" s="84">
        <v>0</v>
      </c>
      <c r="Q16" s="84">
        <v>610</v>
      </c>
      <c r="R16" s="84">
        <v>991</v>
      </c>
      <c r="S16" s="84">
        <v>990.92558983666061</v>
      </c>
      <c r="T16" s="84">
        <v>1295.8257713248638</v>
      </c>
      <c r="U16" s="84">
        <v>2000.9074410163339</v>
      </c>
      <c r="V16" s="84">
        <v>2496.3702359346644</v>
      </c>
      <c r="W16" s="1">
        <v>190.56261343012704</v>
      </c>
      <c r="X16" s="29">
        <v>171.50635208711435</v>
      </c>
    </row>
    <row r="17" spans="1:24" x14ac:dyDescent="0.25">
      <c r="A17" s="21" t="s">
        <v>53</v>
      </c>
      <c r="B17" s="27" t="str">
        <f t="shared" si="0"/>
        <v/>
      </c>
      <c r="C17" s="50">
        <v>0</v>
      </c>
      <c r="D17" s="1">
        <v>0</v>
      </c>
      <c r="E17" s="114"/>
      <c r="F17" s="1"/>
      <c r="G17" s="1"/>
      <c r="H17" s="1"/>
      <c r="I17" s="1"/>
      <c r="J17" s="1"/>
      <c r="K17" s="1"/>
      <c r="L17" s="1">
        <v>0</v>
      </c>
      <c r="M17" s="1">
        <v>0</v>
      </c>
      <c r="N17" s="84">
        <v>76</v>
      </c>
      <c r="O17" s="84">
        <v>0</v>
      </c>
      <c r="P17" s="84">
        <v>0</v>
      </c>
      <c r="Q17" s="84">
        <v>324</v>
      </c>
      <c r="R17" s="84">
        <v>19</v>
      </c>
      <c r="S17" s="84">
        <v>0</v>
      </c>
      <c r="T17" s="84">
        <v>0</v>
      </c>
      <c r="U17" s="84">
        <v>57.168784029038115</v>
      </c>
      <c r="V17" s="84">
        <v>0</v>
      </c>
      <c r="W17" s="1">
        <v>57.168784029038115</v>
      </c>
      <c r="X17" s="29">
        <v>57.168784029038115</v>
      </c>
    </row>
    <row r="18" spans="1:24" x14ac:dyDescent="0.25">
      <c r="A18" s="20" t="s">
        <v>60</v>
      </c>
      <c r="B18" s="27">
        <f t="shared" si="0"/>
        <v>-0.1239028032990889</v>
      </c>
      <c r="C18" s="50">
        <v>-20135.312756055413</v>
      </c>
      <c r="D18" s="1">
        <v>-15816.306906421552</v>
      </c>
      <c r="E18" s="114">
        <v>147735.85591118969</v>
      </c>
      <c r="F18" s="1">
        <v>168629.52702909391</v>
      </c>
      <c r="G18" s="1">
        <v>123715.32583262621</v>
      </c>
      <c r="H18" s="1">
        <v>95825.104898379781</v>
      </c>
      <c r="I18" s="1">
        <v>116272.43295947675</v>
      </c>
      <c r="J18" s="1">
        <v>97392.187999999995</v>
      </c>
      <c r="K18" s="1">
        <v>85067</v>
      </c>
      <c r="L18" s="1">
        <v>78321</v>
      </c>
      <c r="M18" s="1">
        <v>78645</v>
      </c>
      <c r="N18" s="1">
        <v>83733</v>
      </c>
      <c r="O18" s="1">
        <v>71309</v>
      </c>
      <c r="P18" s="1">
        <v>53300</v>
      </c>
      <c r="Q18" s="1">
        <v>45411</v>
      </c>
      <c r="R18" s="1">
        <v>46516</v>
      </c>
      <c r="S18" s="1">
        <v>36206.896551724138</v>
      </c>
      <c r="T18" s="1">
        <v>42076.225045372048</v>
      </c>
      <c r="U18" s="1">
        <v>43981.851179673322</v>
      </c>
      <c r="V18" s="1">
        <v>34186.932849364792</v>
      </c>
      <c r="W18" s="1">
        <v>34053.539019963704</v>
      </c>
      <c r="X18" s="29">
        <v>23229.582577132485</v>
      </c>
    </row>
    <row r="19" spans="1:24" x14ac:dyDescent="0.25">
      <c r="A19" s="21" t="s">
        <v>19</v>
      </c>
      <c r="B19" s="27">
        <f t="shared" si="0"/>
        <v>-0.20104268562706995</v>
      </c>
      <c r="C19" s="50">
        <v>-35827.788945466978</v>
      </c>
      <c r="D19" s="1">
        <v>-35969.146471653774</v>
      </c>
      <c r="E19" s="114">
        <v>215506.23553049512</v>
      </c>
      <c r="F19" s="1">
        <v>269734.35458143021</v>
      </c>
      <c r="G19" s="1">
        <v>312722.41660200618</v>
      </c>
      <c r="H19" s="1">
        <v>217114.14881455066</v>
      </c>
      <c r="I19" s="1">
        <v>263357.98709748685</v>
      </c>
      <c r="J19" s="1">
        <v>301380.7</v>
      </c>
      <c r="K19" s="1">
        <v>364756</v>
      </c>
      <c r="L19" s="1">
        <v>411368</v>
      </c>
      <c r="M19" s="1">
        <v>460895</v>
      </c>
      <c r="N19" s="84">
        <v>537501</v>
      </c>
      <c r="O19" s="84">
        <v>409729</v>
      </c>
      <c r="P19" s="84">
        <v>644407</v>
      </c>
      <c r="Q19" s="84">
        <v>478941</v>
      </c>
      <c r="R19" s="84">
        <v>517187</v>
      </c>
      <c r="S19" s="84">
        <v>476921</v>
      </c>
      <c r="T19" s="84">
        <v>409747.73139745917</v>
      </c>
      <c r="U19" s="84">
        <v>487649.72776769509</v>
      </c>
      <c r="V19" s="84">
        <v>478007.2595281307</v>
      </c>
      <c r="W19" s="1">
        <v>405593.46642468241</v>
      </c>
      <c r="X19" s="29">
        <v>466516.33393829403</v>
      </c>
    </row>
    <row r="20" spans="1:24" x14ac:dyDescent="0.25">
      <c r="A20" s="21" t="s">
        <v>54</v>
      </c>
      <c r="B20" s="27">
        <f t="shared" si="0"/>
        <v>-0.72446021413580897</v>
      </c>
      <c r="C20" s="50">
        <v>-195.97639782798001</v>
      </c>
      <c r="D20" s="1">
        <v>-107.90418171456031</v>
      </c>
      <c r="E20" s="114">
        <v>590.29150254690001</v>
      </c>
      <c r="F20" s="1">
        <v>2142.3095060320798</v>
      </c>
      <c r="G20" s="1">
        <v>2394.1049809122601</v>
      </c>
      <c r="H20" s="1">
        <v>3508.9815024725999</v>
      </c>
      <c r="I20" s="1">
        <v>2766.3782180018638</v>
      </c>
      <c r="J20" s="1">
        <v>2993.453</v>
      </c>
      <c r="K20" s="1">
        <v>3583</v>
      </c>
      <c r="L20" s="1">
        <v>4421</v>
      </c>
      <c r="M20" s="1">
        <v>4745</v>
      </c>
      <c r="N20" s="84">
        <v>9490</v>
      </c>
      <c r="O20" s="84">
        <v>4821</v>
      </c>
      <c r="P20" s="84">
        <v>6898</v>
      </c>
      <c r="Q20" s="84">
        <v>6651</v>
      </c>
      <c r="R20" s="84">
        <v>3449</v>
      </c>
      <c r="S20" s="84">
        <v>8423</v>
      </c>
      <c r="T20" s="84">
        <v>4611.615245009074</v>
      </c>
      <c r="U20" s="84">
        <v>5869.3284936479131</v>
      </c>
      <c r="V20" s="84">
        <v>8480.0362976406541</v>
      </c>
      <c r="W20" s="1">
        <v>7279.4918330308528</v>
      </c>
      <c r="X20" s="29">
        <v>8613.4301270417418</v>
      </c>
    </row>
    <row r="21" spans="1:24" x14ac:dyDescent="0.25">
      <c r="A21" s="21" t="s">
        <v>55</v>
      </c>
      <c r="B21" s="27">
        <f t="shared" si="0"/>
        <v>-0.47271633582538453</v>
      </c>
      <c r="C21" s="50">
        <v>-10.096966156199983</v>
      </c>
      <c r="D21" s="1">
        <v>385.47549661235996</v>
      </c>
      <c r="E21" s="114">
        <v>350.68859057231998</v>
      </c>
      <c r="F21" s="1">
        <v>665.08525562093996</v>
      </c>
      <c r="G21" s="1">
        <v>574.57452692639993</v>
      </c>
      <c r="H21" s="1">
        <v>610.54258749791995</v>
      </c>
      <c r="I21" s="1">
        <v>273.24676524206825</v>
      </c>
      <c r="J21" s="1">
        <v>394.97899999999998</v>
      </c>
      <c r="K21" s="1">
        <v>743</v>
      </c>
      <c r="L21" s="1">
        <v>381</v>
      </c>
      <c r="M21" s="1">
        <v>1124</v>
      </c>
      <c r="N21" s="84">
        <v>2573</v>
      </c>
      <c r="O21" s="84">
        <v>2935</v>
      </c>
      <c r="P21" s="84">
        <v>2554</v>
      </c>
      <c r="Q21" s="84">
        <v>7565</v>
      </c>
      <c r="R21" s="84">
        <v>534</v>
      </c>
      <c r="S21" s="84">
        <v>4859</v>
      </c>
      <c r="T21" s="84">
        <v>3144.2831215970964</v>
      </c>
      <c r="U21" s="84">
        <v>4478.2214156079854</v>
      </c>
      <c r="V21" s="84">
        <v>8232.3049001814888</v>
      </c>
      <c r="W21" s="1">
        <v>5373.8656987295826</v>
      </c>
      <c r="X21" s="29">
        <v>9451.9056261343012</v>
      </c>
    </row>
    <row r="22" spans="1:24" x14ac:dyDescent="0.25">
      <c r="A22" s="21" t="s">
        <v>34</v>
      </c>
      <c r="B22" s="27">
        <f t="shared" si="0"/>
        <v>-0.29399676970559546</v>
      </c>
      <c r="C22" s="50">
        <v>-277.68562017503996</v>
      </c>
      <c r="D22" s="1">
        <v>-539.5399594523401</v>
      </c>
      <c r="E22" s="114">
        <v>1682.1355107433799</v>
      </c>
      <c r="F22" s="1">
        <v>2382.6173005496398</v>
      </c>
      <c r="G22" s="1">
        <v>2274.0463380511801</v>
      </c>
      <c r="H22" s="1">
        <v>2471.0895851333999</v>
      </c>
      <c r="I22" s="1">
        <v>2266.826054704261</v>
      </c>
      <c r="J22" s="1">
        <v>2167.1350000000002</v>
      </c>
      <c r="K22" s="1">
        <v>991</v>
      </c>
      <c r="L22" s="1">
        <v>1944</v>
      </c>
      <c r="M22" s="1">
        <v>2420</v>
      </c>
      <c r="N22" s="84">
        <v>1067</v>
      </c>
      <c r="O22" s="84">
        <v>2839</v>
      </c>
      <c r="P22" s="84">
        <v>2496</v>
      </c>
      <c r="Q22" s="84">
        <v>2134</v>
      </c>
      <c r="R22" s="84">
        <v>591</v>
      </c>
      <c r="S22" s="84">
        <v>2725</v>
      </c>
      <c r="T22" s="84">
        <v>2629.764065335753</v>
      </c>
      <c r="U22" s="84">
        <v>3201.4519056261342</v>
      </c>
      <c r="V22" s="84">
        <v>2286.7513611615245</v>
      </c>
      <c r="W22" s="1">
        <v>2801.2704174228675</v>
      </c>
      <c r="X22" s="29">
        <v>3830.3085299455533</v>
      </c>
    </row>
    <row r="23" spans="1:24" x14ac:dyDescent="0.25">
      <c r="A23" s="21" t="s">
        <v>21</v>
      </c>
      <c r="B23" s="27">
        <f t="shared" si="0"/>
        <v>-0.16367116877592272</v>
      </c>
      <c r="C23" s="50">
        <v>-25.204313631420007</v>
      </c>
      <c r="D23" s="1">
        <v>-86.357636954819981</v>
      </c>
      <c r="E23" s="114">
        <v>149.81611670255998</v>
      </c>
      <c r="F23" s="1">
        <v>179.13542031462001</v>
      </c>
      <c r="G23" s="1">
        <v>174.08693723651999</v>
      </c>
      <c r="H23" s="1">
        <v>221.10450794124</v>
      </c>
      <c r="I23" s="1">
        <v>197.46236643199035</v>
      </c>
      <c r="J23" s="1">
        <v>171.56399999999999</v>
      </c>
      <c r="K23" s="1">
        <v>152</v>
      </c>
      <c r="L23" s="1">
        <v>400</v>
      </c>
      <c r="M23" s="1">
        <v>457</v>
      </c>
      <c r="N23" s="84">
        <v>191</v>
      </c>
      <c r="O23" s="84">
        <v>495</v>
      </c>
      <c r="P23" s="84">
        <v>762</v>
      </c>
      <c r="Q23" s="84">
        <v>572</v>
      </c>
      <c r="R23" s="84">
        <v>381</v>
      </c>
      <c r="S23" s="84">
        <v>666.9691470054446</v>
      </c>
      <c r="T23" s="84">
        <v>743.19419237749548</v>
      </c>
      <c r="U23" s="84">
        <v>990.92558983666061</v>
      </c>
      <c r="V23" s="84">
        <v>952.81306715063522</v>
      </c>
      <c r="W23" s="1">
        <v>876.58802177858445</v>
      </c>
      <c r="X23" s="29">
        <v>1410.1633393829402</v>
      </c>
    </row>
    <row r="24" spans="1:24" x14ac:dyDescent="0.25">
      <c r="A24" s="21" t="s">
        <v>56</v>
      </c>
      <c r="B24" s="27" t="str">
        <f t="shared" si="0"/>
        <v/>
      </c>
      <c r="C24" s="50">
        <v>0</v>
      </c>
      <c r="D24" s="1">
        <v>0</v>
      </c>
      <c r="E24" s="114"/>
      <c r="F24" s="1"/>
      <c r="G24" s="1"/>
      <c r="H24" s="1"/>
      <c r="I24" s="1"/>
      <c r="J24" s="1"/>
      <c r="K24" s="1"/>
      <c r="L24" s="1">
        <v>0</v>
      </c>
      <c r="M24" s="1">
        <v>0</v>
      </c>
      <c r="N24" s="84">
        <v>0</v>
      </c>
      <c r="O24" s="84">
        <v>0</v>
      </c>
      <c r="P24" s="84">
        <v>0</v>
      </c>
      <c r="Q24" s="84">
        <v>38</v>
      </c>
      <c r="R24" s="84">
        <v>0</v>
      </c>
      <c r="S24" s="84">
        <v>0</v>
      </c>
      <c r="T24" s="84">
        <v>0</v>
      </c>
      <c r="U24" s="84">
        <v>0</v>
      </c>
      <c r="V24" s="84">
        <v>95.281306715063522</v>
      </c>
      <c r="W24" s="1">
        <v>76.225045372050815</v>
      </c>
      <c r="X24" s="29">
        <v>171.50635208711435</v>
      </c>
    </row>
    <row r="25" spans="1:24" x14ac:dyDescent="0.25">
      <c r="A25" s="21" t="s">
        <v>57</v>
      </c>
      <c r="B25" s="27">
        <f t="shared" si="0"/>
        <v>-0.16485783268090295</v>
      </c>
      <c r="C25" s="50">
        <v>-104.89414274723993</v>
      </c>
      <c r="D25" s="1">
        <v>-103.3891232635799</v>
      </c>
      <c r="E25" s="114">
        <v>678.74473625112</v>
      </c>
      <c r="F25" s="1">
        <v>812.72957205594003</v>
      </c>
      <c r="G25" s="1">
        <v>821.89304511467992</v>
      </c>
      <c r="H25" s="1">
        <v>629.99353550825992</v>
      </c>
      <c r="I25" s="1">
        <v>705.18735705224844</v>
      </c>
      <c r="J25" s="1">
        <v>801.56399999999996</v>
      </c>
      <c r="K25" s="1">
        <v>229</v>
      </c>
      <c r="L25" s="1">
        <v>629</v>
      </c>
      <c r="M25" s="1">
        <v>38</v>
      </c>
      <c r="N25" s="84">
        <v>152</v>
      </c>
      <c r="O25" s="84">
        <v>172</v>
      </c>
      <c r="P25" s="84">
        <v>191</v>
      </c>
      <c r="Q25" s="84">
        <v>229</v>
      </c>
      <c r="R25" s="84">
        <v>152</v>
      </c>
      <c r="S25" s="84">
        <v>343</v>
      </c>
      <c r="T25" s="84">
        <v>419.23774954627947</v>
      </c>
      <c r="U25" s="84">
        <v>590.74410163339383</v>
      </c>
      <c r="V25" s="84">
        <v>533.57531760435575</v>
      </c>
      <c r="W25" s="1">
        <v>438.29401088929222</v>
      </c>
      <c r="X25" s="29">
        <v>266.78765880217787</v>
      </c>
    </row>
    <row r="26" spans="1:24" ht="13.8" thickBot="1" x14ac:dyDescent="0.3">
      <c r="A26" s="21" t="s">
        <v>58</v>
      </c>
      <c r="B26" s="27">
        <f t="shared" si="0"/>
        <v>-9.5112089668010602E-2</v>
      </c>
      <c r="C26" s="50">
        <v>-29567.460368948028</v>
      </c>
      <c r="D26" s="1">
        <v>-44874.194349433703</v>
      </c>
      <c r="E26" s="114">
        <v>166661.49496909374</v>
      </c>
      <c r="F26" s="1">
        <v>184179.15972371452</v>
      </c>
      <c r="G26" s="1">
        <v>202598.02633497503</v>
      </c>
      <c r="H26" s="1">
        <v>140690.5548941046</v>
      </c>
      <c r="I26" s="1">
        <f>111558.769089295+22960</f>
        <v>134518.769089295</v>
      </c>
      <c r="J26" s="1">
        <f>93421+19069</f>
        <v>112490</v>
      </c>
      <c r="K26" s="1">
        <f>104828+18751</f>
        <v>123579</v>
      </c>
      <c r="L26" s="1">
        <f>72738+12996</f>
        <v>85734</v>
      </c>
      <c r="M26" s="1">
        <v>81275</v>
      </c>
      <c r="N26" s="84">
        <v>127715</v>
      </c>
      <c r="O26" s="84">
        <v>101170</v>
      </c>
      <c r="P26" s="84">
        <v>94881</v>
      </c>
      <c r="Q26" s="84">
        <v>69841</v>
      </c>
      <c r="R26" s="84">
        <v>43334</v>
      </c>
      <c r="S26" s="84">
        <v>38341</v>
      </c>
      <c r="T26" s="84">
        <v>36702.359346642472</v>
      </c>
      <c r="U26" s="84">
        <v>36835.75317604356</v>
      </c>
      <c r="V26" s="84">
        <v>34339.382940108895</v>
      </c>
      <c r="W26" s="1">
        <v>27250.453720508169</v>
      </c>
      <c r="X26" s="29">
        <v>29918.330308529945</v>
      </c>
    </row>
    <row r="27" spans="1:24" ht="13.8" thickBot="1" x14ac:dyDescent="0.3">
      <c r="A27" s="23" t="s">
        <v>22</v>
      </c>
      <c r="B27" s="106">
        <f t="shared" si="0"/>
        <v>-6.9173499289402696E-2</v>
      </c>
      <c r="C27" s="74">
        <v>-266216.20960589871</v>
      </c>
      <c r="D27" s="46">
        <v>-288384.78463349934</v>
      </c>
      <c r="E27" s="45">
        <f>SUM(E2:E26)</f>
        <v>1644257.3708874204</v>
      </c>
      <c r="F27" s="46">
        <f t="shared" ref="F27:L27" si="1">SUM(F2:F26)</f>
        <v>1766448.8168656421</v>
      </c>
      <c r="G27" s="46">
        <f t="shared" si="1"/>
        <v>1856846.8596077026</v>
      </c>
      <c r="H27" s="46">
        <f t="shared" si="1"/>
        <v>1367387.8713409945</v>
      </c>
      <c r="I27" s="46">
        <f t="shared" si="1"/>
        <v>1477761.8224128613</v>
      </c>
      <c r="J27" s="46">
        <f t="shared" si="1"/>
        <v>1489548.155</v>
      </c>
      <c r="K27" s="46">
        <f t="shared" si="1"/>
        <v>1675653</v>
      </c>
      <c r="L27" s="46">
        <f t="shared" si="1"/>
        <v>1499957</v>
      </c>
      <c r="M27" s="46">
        <f t="shared" ref="M27:R27" si="2">SUM(M2:M26)</f>
        <v>1715634</v>
      </c>
      <c r="N27" s="46">
        <f t="shared" si="2"/>
        <v>1632284</v>
      </c>
      <c r="O27" s="46">
        <f t="shared" si="2"/>
        <v>1448884</v>
      </c>
      <c r="P27" s="46">
        <f t="shared" si="2"/>
        <v>1811716</v>
      </c>
      <c r="Q27" s="46">
        <f t="shared" si="2"/>
        <v>1459157</v>
      </c>
      <c r="R27" s="46">
        <f t="shared" si="2"/>
        <v>1441892</v>
      </c>
      <c r="S27" s="46">
        <f t="shared" ref="S27:X27" si="3">SUM(S2:S26)</f>
        <v>1305180.5825771324</v>
      </c>
      <c r="T27" s="46">
        <f t="shared" si="3"/>
        <v>1253844.8275862068</v>
      </c>
      <c r="U27" s="46">
        <f t="shared" si="3"/>
        <v>1285020.8711433755</v>
      </c>
      <c r="V27" s="46">
        <f t="shared" si="3"/>
        <v>1432706.8965517241</v>
      </c>
      <c r="W27" s="46">
        <f t="shared" si="3"/>
        <v>1131903.8112522687</v>
      </c>
      <c r="X27" s="97">
        <f t="shared" si="3"/>
        <v>1156772.2323049002</v>
      </c>
    </row>
    <row r="28" spans="1:24" x14ac:dyDescent="0.25"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</row>
    <row r="29" spans="1:24" ht="13.8" thickBot="1" x14ac:dyDescent="0.3">
      <c r="B29" s="36"/>
      <c r="C29" s="36"/>
      <c r="D29" s="36"/>
      <c r="E29" s="178"/>
      <c r="F29" s="178"/>
      <c r="G29" s="36"/>
      <c r="H29" s="158"/>
      <c r="I29" s="36"/>
      <c r="J29" s="36"/>
      <c r="K29" s="36"/>
      <c r="L29" s="36"/>
      <c r="M29" s="36"/>
      <c r="N29" s="36"/>
    </row>
    <row r="30" spans="1:24" ht="13.8" thickBot="1" x14ac:dyDescent="0.3">
      <c r="A30" s="23" t="s">
        <v>24</v>
      </c>
      <c r="B30" s="24" t="s">
        <v>172</v>
      </c>
      <c r="C30" s="49" t="s">
        <v>179</v>
      </c>
      <c r="D30" s="83" t="s">
        <v>173</v>
      </c>
      <c r="E30" s="159">
        <v>46054</v>
      </c>
      <c r="F30" s="86">
        <v>45689</v>
      </c>
      <c r="G30" s="86">
        <v>45323</v>
      </c>
      <c r="H30" s="86">
        <v>44958</v>
      </c>
      <c r="I30" s="86">
        <v>44593</v>
      </c>
      <c r="J30" s="86">
        <v>44228</v>
      </c>
      <c r="K30" s="86">
        <v>43862</v>
      </c>
      <c r="L30" s="86">
        <v>43497</v>
      </c>
      <c r="M30" s="86">
        <v>43132</v>
      </c>
      <c r="N30" s="25">
        <v>42767</v>
      </c>
      <c r="O30" s="25">
        <v>42401</v>
      </c>
      <c r="P30" s="25">
        <f>P1</f>
        <v>42036</v>
      </c>
      <c r="Q30" s="25">
        <v>41671</v>
      </c>
      <c r="R30" s="25">
        <v>41306</v>
      </c>
      <c r="S30" s="25">
        <v>40940</v>
      </c>
      <c r="T30" s="25">
        <v>40575</v>
      </c>
      <c r="U30" s="25">
        <v>40210</v>
      </c>
      <c r="V30" s="25">
        <v>39845</v>
      </c>
      <c r="W30" s="25">
        <v>39479</v>
      </c>
      <c r="X30" s="26">
        <v>39114</v>
      </c>
    </row>
    <row r="31" spans="1:24" x14ac:dyDescent="0.25">
      <c r="A31" s="20" t="s">
        <v>40</v>
      </c>
      <c r="B31" s="27">
        <f t="shared" ref="B31:B41" si="4">IFERROR(((E31-F31)/F31),"")</f>
        <v>0.61098012798922197</v>
      </c>
      <c r="C31" s="50">
        <v>-39625</v>
      </c>
      <c r="D31" s="1">
        <v>-18359</v>
      </c>
      <c r="E31" s="114">
        <v>81311</v>
      </c>
      <c r="F31" s="1">
        <v>50473</v>
      </c>
      <c r="G31" s="1">
        <v>69616.08</v>
      </c>
      <c r="H31" s="1">
        <v>79008.320000000007</v>
      </c>
      <c r="I31" s="1">
        <v>94190</v>
      </c>
      <c r="J31" s="1">
        <v>80018.36</v>
      </c>
      <c r="K31" s="1">
        <v>92473</v>
      </c>
      <c r="L31" s="1">
        <v>103770</v>
      </c>
      <c r="M31" s="1">
        <v>102013</v>
      </c>
      <c r="N31" s="1">
        <v>83380</v>
      </c>
      <c r="O31" s="1">
        <v>86824.34</v>
      </c>
      <c r="P31" s="1">
        <v>107454.66</v>
      </c>
      <c r="Q31" s="1">
        <v>107303.92</v>
      </c>
      <c r="R31" s="1">
        <v>94017.46</v>
      </c>
      <c r="S31" s="1">
        <v>115007.56</v>
      </c>
      <c r="T31" s="1">
        <v>95362.62</v>
      </c>
      <c r="U31" s="1">
        <v>107091.28</v>
      </c>
      <c r="V31" s="1">
        <v>78777.36</v>
      </c>
      <c r="W31" s="1">
        <v>88973.119999999995</v>
      </c>
      <c r="X31" s="29">
        <v>73291.38</v>
      </c>
    </row>
    <row r="32" spans="1:24" x14ac:dyDescent="0.25">
      <c r="A32" s="20" t="s">
        <v>41</v>
      </c>
      <c r="B32" s="27">
        <f t="shared" si="4"/>
        <v>7.3379790940766547</v>
      </c>
      <c r="C32" s="50">
        <v>-11949</v>
      </c>
      <c r="D32" s="1">
        <v>-3666</v>
      </c>
      <c r="E32" s="114">
        <v>28716</v>
      </c>
      <c r="F32" s="1">
        <v>3444</v>
      </c>
      <c r="G32" s="1">
        <v>21524.62</v>
      </c>
      <c r="H32" s="1">
        <v>10619.26</v>
      </c>
      <c r="I32" s="1">
        <v>19027</v>
      </c>
      <c r="J32" s="1">
        <v>18054.68</v>
      </c>
      <c r="K32" s="1">
        <v>13815.1</v>
      </c>
      <c r="L32" s="1">
        <v>30129</v>
      </c>
      <c r="M32" s="1">
        <v>20334</v>
      </c>
      <c r="N32" s="1">
        <v>27644</v>
      </c>
      <c r="O32" s="1">
        <v>24982.44</v>
      </c>
      <c r="P32" s="1">
        <v>20369.419999999998</v>
      </c>
      <c r="Q32" s="1">
        <v>25601</v>
      </c>
      <c r="R32" s="1">
        <v>16576.740000000002</v>
      </c>
      <c r="S32" s="1">
        <v>32878.04</v>
      </c>
      <c r="T32" s="1">
        <v>12127.42</v>
      </c>
      <c r="U32" s="1">
        <v>18839.400000000001</v>
      </c>
      <c r="V32" s="1">
        <v>23516.6</v>
      </c>
      <c r="W32" s="1">
        <v>13846.96</v>
      </c>
      <c r="X32" s="29">
        <v>23320.82</v>
      </c>
    </row>
    <row r="33" spans="1:25" x14ac:dyDescent="0.25">
      <c r="A33" s="20" t="s">
        <v>42</v>
      </c>
      <c r="B33" s="27">
        <f t="shared" si="4"/>
        <v>0.32886400471489613</v>
      </c>
      <c r="C33" s="50">
        <v>-3337</v>
      </c>
      <c r="D33" s="1">
        <v>-2818</v>
      </c>
      <c r="E33" s="114">
        <v>9019</v>
      </c>
      <c r="F33" s="1">
        <v>6787</v>
      </c>
      <c r="G33" s="1">
        <v>7489.66</v>
      </c>
      <c r="H33" s="1">
        <v>8120.52</v>
      </c>
      <c r="I33" s="1">
        <v>10913</v>
      </c>
      <c r="J33" s="1">
        <v>7917.76</v>
      </c>
      <c r="K33" s="1">
        <v>11241.32</v>
      </c>
      <c r="L33" s="1">
        <v>10203</v>
      </c>
      <c r="M33" s="1">
        <v>10525</v>
      </c>
      <c r="N33" s="1">
        <v>9724</v>
      </c>
      <c r="O33" s="1">
        <v>6391.02</v>
      </c>
      <c r="P33" s="1">
        <v>10735.42</v>
      </c>
      <c r="Q33" s="1">
        <v>9118</v>
      </c>
      <c r="R33" s="1">
        <v>7593.84</v>
      </c>
      <c r="S33" s="1">
        <v>8973.1200000000008</v>
      </c>
      <c r="T33" s="1">
        <v>7175.76</v>
      </c>
      <c r="U33" s="1">
        <v>8134.24</v>
      </c>
      <c r="V33" s="1">
        <v>8425.82</v>
      </c>
      <c r="W33" s="1">
        <v>8444.94</v>
      </c>
      <c r="X33" s="29">
        <v>7524.98</v>
      </c>
    </row>
    <row r="34" spans="1:25" x14ac:dyDescent="0.25">
      <c r="A34" s="20" t="s">
        <v>43</v>
      </c>
      <c r="B34" s="27">
        <f t="shared" si="4"/>
        <v>12.4</v>
      </c>
      <c r="C34" s="50">
        <v>-412</v>
      </c>
      <c r="D34" s="1">
        <v>-196</v>
      </c>
      <c r="E34" s="114">
        <v>670</v>
      </c>
      <c r="F34" s="1">
        <v>50</v>
      </c>
      <c r="G34" s="1">
        <v>361.68</v>
      </c>
      <c r="H34" s="1">
        <v>11.18</v>
      </c>
      <c r="I34" s="1">
        <v>84</v>
      </c>
      <c r="J34" s="1">
        <v>13.94</v>
      </c>
      <c r="K34" s="1">
        <v>390.48</v>
      </c>
      <c r="L34" s="1">
        <v>624</v>
      </c>
      <c r="M34" s="1">
        <v>270</v>
      </c>
      <c r="N34" s="1">
        <v>555</v>
      </c>
      <c r="O34" s="1">
        <v>105.64</v>
      </c>
      <c r="P34" s="1">
        <v>406.68</v>
      </c>
      <c r="Q34" s="1">
        <v>1106.48</v>
      </c>
      <c r="R34" s="1">
        <v>381.86</v>
      </c>
      <c r="S34" s="1">
        <v>1414.44</v>
      </c>
      <c r="T34" s="1">
        <v>168.22</v>
      </c>
      <c r="U34" s="1">
        <v>840.26</v>
      </c>
      <c r="V34" s="1">
        <v>823.44</v>
      </c>
      <c r="W34" s="1">
        <v>494.66</v>
      </c>
      <c r="X34" s="29">
        <v>1103.32</v>
      </c>
    </row>
    <row r="35" spans="1:25" x14ac:dyDescent="0.25">
      <c r="A35" s="20" t="s">
        <v>147</v>
      </c>
      <c r="B35" s="27">
        <f t="shared" si="4"/>
        <v>20.625</v>
      </c>
      <c r="C35" s="50">
        <v>0</v>
      </c>
      <c r="D35" s="1">
        <v>0</v>
      </c>
      <c r="E35" s="114">
        <v>173</v>
      </c>
      <c r="F35" s="1">
        <v>8</v>
      </c>
      <c r="G35" s="1">
        <v>0.26</v>
      </c>
      <c r="H35" s="1">
        <v>4.46</v>
      </c>
      <c r="I35" s="1">
        <v>16</v>
      </c>
      <c r="J35" s="1">
        <v>0</v>
      </c>
      <c r="K35" s="1">
        <v>0</v>
      </c>
      <c r="L35" s="1">
        <v>54</v>
      </c>
      <c r="M35" s="1">
        <v>79</v>
      </c>
      <c r="N35" s="1">
        <v>3</v>
      </c>
      <c r="O35" s="1">
        <v>2.7</v>
      </c>
      <c r="P35" s="1">
        <v>0</v>
      </c>
      <c r="Q35" s="1">
        <v>36.380000000000003</v>
      </c>
      <c r="R35" s="1">
        <v>39.72</v>
      </c>
      <c r="S35" s="1">
        <v>406.86</v>
      </c>
      <c r="T35" s="1">
        <v>112.08</v>
      </c>
      <c r="U35" s="1"/>
      <c r="V35" s="1"/>
      <c r="W35" s="1"/>
      <c r="X35" s="29"/>
    </row>
    <row r="36" spans="1:25" x14ac:dyDescent="0.25">
      <c r="A36" s="20" t="s">
        <v>44</v>
      </c>
      <c r="B36" s="27" t="str">
        <f t="shared" si="4"/>
        <v/>
      </c>
      <c r="C36" s="50">
        <v>-26</v>
      </c>
      <c r="D36" s="1">
        <v>-39</v>
      </c>
      <c r="E36" s="114">
        <v>91</v>
      </c>
      <c r="F36" s="1">
        <v>0</v>
      </c>
      <c r="G36" s="1">
        <v>31.42</v>
      </c>
      <c r="H36" s="1">
        <v>32.08</v>
      </c>
      <c r="I36" s="1">
        <v>28</v>
      </c>
      <c r="J36" s="1">
        <v>98</v>
      </c>
      <c r="K36" s="1">
        <v>32.380000000000003</v>
      </c>
      <c r="L36" s="1">
        <v>129</v>
      </c>
      <c r="M36" s="1">
        <v>125</v>
      </c>
      <c r="N36" s="1">
        <v>212</v>
      </c>
      <c r="O36" s="1">
        <v>0.32</v>
      </c>
      <c r="P36" s="1">
        <v>56.6</v>
      </c>
      <c r="Q36" s="1">
        <v>170.32</v>
      </c>
      <c r="R36" s="1">
        <v>130.41999999999999</v>
      </c>
      <c r="S36" s="1">
        <v>272.58</v>
      </c>
      <c r="T36" s="1">
        <v>5.6</v>
      </c>
      <c r="U36" s="1">
        <v>111.92</v>
      </c>
      <c r="V36" s="1">
        <v>151.12</v>
      </c>
      <c r="W36" s="1">
        <v>39.1</v>
      </c>
      <c r="X36" s="29">
        <v>185.24</v>
      </c>
    </row>
    <row r="37" spans="1:25" x14ac:dyDescent="0.25">
      <c r="A37" s="20" t="s">
        <v>162</v>
      </c>
      <c r="B37" s="27" t="str">
        <f t="shared" si="4"/>
        <v/>
      </c>
      <c r="C37" s="50">
        <v>140</v>
      </c>
      <c r="D37" s="1">
        <v>-25</v>
      </c>
      <c r="E37" s="114">
        <v>257</v>
      </c>
      <c r="F37" s="1">
        <v>0</v>
      </c>
      <c r="G37" s="1">
        <v>313.60000000000002</v>
      </c>
      <c r="H37" s="1">
        <v>0</v>
      </c>
      <c r="I37" s="1">
        <v>300</v>
      </c>
      <c r="J37" s="1">
        <v>43.58</v>
      </c>
      <c r="K37" s="1">
        <v>134.68</v>
      </c>
      <c r="L37" s="1">
        <v>188</v>
      </c>
      <c r="M37" s="1">
        <v>5</v>
      </c>
      <c r="N37" s="1">
        <v>120</v>
      </c>
      <c r="O37" s="1">
        <v>0.57999999999999996</v>
      </c>
      <c r="P37" s="1"/>
      <c r="Q37" s="1"/>
      <c r="R37" s="1"/>
      <c r="S37" s="1"/>
      <c r="T37" s="1"/>
      <c r="U37" s="1"/>
      <c r="V37" s="1"/>
      <c r="W37" s="1"/>
      <c r="X37" s="29"/>
    </row>
    <row r="38" spans="1:25" x14ac:dyDescent="0.25">
      <c r="A38" s="20" t="s">
        <v>45</v>
      </c>
      <c r="B38" s="108" t="str">
        <f t="shared" si="4"/>
        <v/>
      </c>
      <c r="C38" s="135">
        <v>0</v>
      </c>
      <c r="D38" s="1">
        <v>0</v>
      </c>
      <c r="E38" s="114"/>
      <c r="F38" s="1"/>
      <c r="G38" s="1"/>
      <c r="H38" s="1"/>
      <c r="I38" s="1"/>
      <c r="J38" s="1"/>
      <c r="K38" s="1"/>
      <c r="L38" s="1">
        <v>0</v>
      </c>
      <c r="M38" s="1">
        <v>0</v>
      </c>
      <c r="N38" s="1">
        <v>0</v>
      </c>
      <c r="O38" s="38">
        <v>0</v>
      </c>
      <c r="P38" s="38">
        <v>0</v>
      </c>
      <c r="Q38" s="38">
        <v>0</v>
      </c>
      <c r="R38" s="1">
        <v>78.239999999999995</v>
      </c>
      <c r="S38" s="1">
        <v>93.46</v>
      </c>
      <c r="T38" s="1">
        <v>5.96</v>
      </c>
      <c r="U38" s="1">
        <v>34.659999999999997</v>
      </c>
      <c r="V38" s="1">
        <v>94.24</v>
      </c>
      <c r="W38" s="1">
        <v>36</v>
      </c>
      <c r="X38" s="29">
        <v>124.52</v>
      </c>
    </row>
    <row r="39" spans="1:25" x14ac:dyDescent="0.25">
      <c r="A39" s="20" t="s">
        <v>47</v>
      </c>
      <c r="B39" s="27">
        <f t="shared" si="4"/>
        <v>6.2857142857142856</v>
      </c>
      <c r="C39" s="50">
        <v>-96</v>
      </c>
      <c r="D39" s="1">
        <v>-133</v>
      </c>
      <c r="E39" s="114">
        <v>204</v>
      </c>
      <c r="F39" s="1">
        <v>28</v>
      </c>
      <c r="G39" s="1">
        <v>374.02</v>
      </c>
      <c r="H39" s="1">
        <v>244.9</v>
      </c>
      <c r="I39" s="1">
        <v>9</v>
      </c>
      <c r="J39" s="1">
        <v>15</v>
      </c>
      <c r="K39" s="1">
        <v>32.68</v>
      </c>
      <c r="L39" s="1">
        <v>200</v>
      </c>
      <c r="M39" s="1">
        <v>91</v>
      </c>
      <c r="N39" s="1">
        <v>65</v>
      </c>
      <c r="O39" s="1">
        <v>111.24</v>
      </c>
      <c r="P39" s="1">
        <v>375.9</v>
      </c>
      <c r="Q39" s="1">
        <v>104.54</v>
      </c>
      <c r="R39" s="1">
        <v>492.82</v>
      </c>
      <c r="S39" s="1">
        <v>86.22</v>
      </c>
      <c r="T39" s="1">
        <v>212.98</v>
      </c>
      <c r="U39" s="1">
        <v>104.78</v>
      </c>
      <c r="V39" s="1">
        <v>671.66</v>
      </c>
      <c r="W39" s="1">
        <v>415.12</v>
      </c>
      <c r="X39" s="29">
        <v>901.68</v>
      </c>
    </row>
    <row r="40" spans="1:25" ht="13.8" thickBot="1" x14ac:dyDescent="0.3">
      <c r="A40" s="20" t="s">
        <v>46</v>
      </c>
      <c r="B40" s="27">
        <f t="shared" si="4"/>
        <v>4.8034143817899642</v>
      </c>
      <c r="C40" s="50">
        <v>-15414</v>
      </c>
      <c r="D40" s="1">
        <v>-9114</v>
      </c>
      <c r="E40" s="114">
        <v>11218</v>
      </c>
      <c r="F40" s="10">
        <v>1933</v>
      </c>
      <c r="G40" s="10">
        <v>5625.7</v>
      </c>
      <c r="H40" s="10">
        <v>6243.82</v>
      </c>
      <c r="I40" s="10">
        <v>8189</v>
      </c>
      <c r="J40" s="10">
        <v>7194</v>
      </c>
      <c r="K40" s="10">
        <v>2874.78</v>
      </c>
      <c r="L40" s="10">
        <v>4573</v>
      </c>
      <c r="M40" s="10">
        <v>4228</v>
      </c>
      <c r="N40" s="85">
        <v>6938</v>
      </c>
      <c r="O40" s="10">
        <v>1488.58</v>
      </c>
      <c r="P40" s="10">
        <v>3581.4</v>
      </c>
      <c r="Q40" s="10">
        <v>4937.2</v>
      </c>
      <c r="R40" s="10">
        <v>4019.18</v>
      </c>
      <c r="S40" s="10">
        <v>3179.86</v>
      </c>
      <c r="T40" s="10">
        <v>389.24</v>
      </c>
      <c r="U40" s="10">
        <v>124</v>
      </c>
      <c r="V40" s="10">
        <v>385</v>
      </c>
      <c r="W40" s="10">
        <v>276.2</v>
      </c>
      <c r="X40" s="31">
        <v>653.22</v>
      </c>
    </row>
    <row r="41" spans="1:25" ht="13.8" thickBot="1" x14ac:dyDescent="0.3">
      <c r="A41" s="23" t="s">
        <v>22</v>
      </c>
      <c r="B41" s="106">
        <f t="shared" si="4"/>
        <v>1.0990545732825279</v>
      </c>
      <c r="C41" s="74">
        <v>-70719</v>
      </c>
      <c r="D41" s="46">
        <v>-34350</v>
      </c>
      <c r="E41" s="45">
        <f>SUM(E31:E40)</f>
        <v>131659</v>
      </c>
      <c r="F41" s="34">
        <f t="shared" ref="F41:L41" si="5">SUM(F31:F40)</f>
        <v>62723</v>
      </c>
      <c r="G41" s="34">
        <f t="shared" si="5"/>
        <v>105337.04</v>
      </c>
      <c r="H41" s="34">
        <f t="shared" si="5"/>
        <v>104284.54000000001</v>
      </c>
      <c r="I41" s="34">
        <f t="shared" si="5"/>
        <v>132756</v>
      </c>
      <c r="J41" s="34">
        <f t="shared" si="5"/>
        <v>113355.32</v>
      </c>
      <c r="K41" s="34">
        <f t="shared" si="5"/>
        <v>120994.42</v>
      </c>
      <c r="L41" s="34">
        <f t="shared" si="5"/>
        <v>149870</v>
      </c>
      <c r="M41" s="34">
        <f t="shared" ref="M41:R41" si="6">SUM(M31:M40)</f>
        <v>137670</v>
      </c>
      <c r="N41" s="34">
        <f t="shared" si="6"/>
        <v>128641</v>
      </c>
      <c r="O41" s="34">
        <f t="shared" si="6"/>
        <v>119906.86000000002</v>
      </c>
      <c r="P41" s="34">
        <f t="shared" si="6"/>
        <v>142980.07999999999</v>
      </c>
      <c r="Q41" s="34">
        <f t="shared" si="6"/>
        <v>148377.84000000003</v>
      </c>
      <c r="R41" s="34">
        <f t="shared" si="6"/>
        <v>123330.28000000001</v>
      </c>
      <c r="S41" s="34">
        <f t="shared" ref="S41:X41" si="7">SUM(S31:S40)</f>
        <v>162312.13999999996</v>
      </c>
      <c r="T41" s="34">
        <f t="shared" si="7"/>
        <v>115559.88</v>
      </c>
      <c r="U41" s="34">
        <f t="shared" si="7"/>
        <v>135280.54</v>
      </c>
      <c r="V41" s="34">
        <f t="shared" si="7"/>
        <v>112845.24</v>
      </c>
      <c r="W41" s="34">
        <f t="shared" si="7"/>
        <v>112526.09999999999</v>
      </c>
      <c r="X41" s="97">
        <f t="shared" si="7"/>
        <v>107105.16000000002</v>
      </c>
    </row>
    <row r="43" spans="1:25" x14ac:dyDescent="0.25">
      <c r="F43" s="1"/>
      <c r="G43" s="1"/>
      <c r="H43" s="1"/>
    </row>
    <row r="44" spans="1:25" x14ac:dyDescent="0.25">
      <c r="F44" s="1"/>
      <c r="G44" s="1"/>
      <c r="H44" s="1"/>
    </row>
    <row r="46" spans="1:25" x14ac:dyDescent="0.25">
      <c r="E46" s="1"/>
    </row>
    <row r="48" spans="1:25" ht="17.399999999999999" x14ac:dyDescent="0.3">
      <c r="W48" s="5"/>
      <c r="X48" s="1"/>
      <c r="Y48" s="1"/>
    </row>
    <row r="49" spans="23:25" ht="17.399999999999999" x14ac:dyDescent="0.3">
      <c r="W49" s="5"/>
      <c r="X49" s="1"/>
      <c r="Y49" s="1"/>
    </row>
    <row r="50" spans="23:25" ht="17.399999999999999" x14ac:dyDescent="0.3">
      <c r="W50" s="5"/>
      <c r="X50" s="1"/>
      <c r="Y50" s="1"/>
    </row>
    <row r="51" spans="23:25" ht="17.399999999999999" x14ac:dyDescent="0.3">
      <c r="W51" s="5"/>
      <c r="X51" s="1"/>
      <c r="Y51" s="1"/>
    </row>
    <row r="52" spans="23:25" ht="17.399999999999999" x14ac:dyDescent="0.3">
      <c r="W52" s="5"/>
      <c r="X52" s="1"/>
      <c r="Y52" s="1"/>
    </row>
    <row r="53" spans="23:25" ht="17.399999999999999" x14ac:dyDescent="0.3">
      <c r="W53" s="5"/>
      <c r="X53" s="1"/>
      <c r="Y53" s="1"/>
    </row>
    <row r="54" spans="23:25" ht="17.399999999999999" x14ac:dyDescent="0.3">
      <c r="W54" s="5"/>
      <c r="X54" s="1"/>
      <c r="Y54" s="1"/>
    </row>
    <row r="55" spans="23:25" ht="17.399999999999999" x14ac:dyDescent="0.3">
      <c r="W55" s="5"/>
      <c r="X55" s="1"/>
      <c r="Y55" s="1"/>
    </row>
    <row r="56" spans="23:25" ht="17.399999999999999" x14ac:dyDescent="0.3">
      <c r="W56" s="5"/>
      <c r="X56" s="1"/>
      <c r="Y56" s="1"/>
    </row>
    <row r="57" spans="23:25" ht="17.399999999999999" x14ac:dyDescent="0.3">
      <c r="W57" s="5"/>
      <c r="X57" s="1"/>
      <c r="Y57" s="1"/>
    </row>
    <row r="58" spans="23:25" ht="17.399999999999999" x14ac:dyDescent="0.3">
      <c r="W58" s="6"/>
      <c r="X58" s="1"/>
      <c r="Y58" s="1"/>
    </row>
    <row r="59" spans="23:25" ht="18" x14ac:dyDescent="0.35">
      <c r="W59" s="7"/>
      <c r="X59" s="2"/>
      <c r="Y59" s="2"/>
    </row>
  </sheetData>
  <phoneticPr fontId="2" type="noConversion"/>
  <conditionalFormatting sqref="E1:E2">
    <cfRule type="expression" dxfId="39" priority="8">
      <formula>ISBLANK(XFD1)=FALSE</formula>
    </cfRule>
  </conditionalFormatting>
  <conditionalFormatting sqref="E3:E11">
    <cfRule type="expression" dxfId="38" priority="4">
      <formula>ISBLANK(A3)=FALSE</formula>
    </cfRule>
  </conditionalFormatting>
  <conditionalFormatting sqref="E12 E17 E24">
    <cfRule type="expression" dxfId="37" priority="13">
      <formula>ISBLANK(XFD12)=FALSE</formula>
    </cfRule>
  </conditionalFormatting>
  <conditionalFormatting sqref="E13:E16">
    <cfRule type="expression" dxfId="36" priority="3">
      <formula>ISBLANK(A13)=FALSE</formula>
    </cfRule>
  </conditionalFormatting>
  <conditionalFormatting sqref="E18:E23">
    <cfRule type="expression" dxfId="35" priority="2">
      <formula>ISBLANK(A18)=FALSE</formula>
    </cfRule>
  </conditionalFormatting>
  <conditionalFormatting sqref="E25">
    <cfRule type="expression" dxfId="34" priority="1">
      <formula>ISBLANK(A25)=FALSE</formula>
    </cfRule>
  </conditionalFormatting>
  <conditionalFormatting sqref="E26:E41">
    <cfRule type="expression" dxfId="33" priority="6">
      <formula>ISBLANK(XFD26)=FALSE</formula>
    </cfRule>
  </conditionalFormatting>
  <conditionalFormatting sqref="F43:H44">
    <cfRule type="cellIs" dxfId="32" priority="23" operator="notEqual">
      <formula>0</formula>
    </cfRule>
    <cfRule type="cellIs" dxfId="31" priority="24" operator="equal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C81"/>
  <sheetViews>
    <sheetView tabSelected="1" zoomScaleNormal="100" workbookViewId="0"/>
  </sheetViews>
  <sheetFormatPr defaultColWidth="9.109375" defaultRowHeight="13.2" x14ac:dyDescent="0.25"/>
  <cols>
    <col min="1" max="1" width="21.6640625" customWidth="1"/>
    <col min="2" max="2" width="10.6640625" customWidth="1"/>
    <col min="3" max="3" width="11.33203125" customWidth="1"/>
    <col min="4" max="4" width="11.33203125" bestFit="1" customWidth="1"/>
    <col min="5" max="5" width="11.33203125" customWidth="1"/>
    <col min="6" max="13" width="11.6640625" customWidth="1"/>
    <col min="14" max="14" width="10.6640625" customWidth="1"/>
    <col min="15" max="24" width="10.109375" bestFit="1" customWidth="1"/>
  </cols>
  <sheetData>
    <row r="1" spans="1:29" ht="13.8" thickBot="1" x14ac:dyDescent="0.3">
      <c r="A1" s="39" t="s">
        <v>89</v>
      </c>
      <c r="B1" s="24" t="s">
        <v>172</v>
      </c>
      <c r="C1" s="49" t="s">
        <v>179</v>
      </c>
      <c r="D1" s="83" t="s">
        <v>173</v>
      </c>
      <c r="E1" s="159">
        <v>46054</v>
      </c>
      <c r="F1" s="86">
        <v>45689</v>
      </c>
      <c r="G1" s="86">
        <v>45323</v>
      </c>
      <c r="H1" s="86">
        <v>44958</v>
      </c>
      <c r="I1" s="86">
        <v>44593</v>
      </c>
      <c r="J1" s="86">
        <v>44228</v>
      </c>
      <c r="K1" s="86">
        <v>43862</v>
      </c>
      <c r="L1" s="86">
        <v>43497</v>
      </c>
      <c r="M1" s="86">
        <v>43132</v>
      </c>
      <c r="N1" s="25">
        <v>42767</v>
      </c>
      <c r="O1" s="86">
        <v>42401</v>
      </c>
      <c r="P1" s="86">
        <v>42036</v>
      </c>
      <c r="Q1" s="86">
        <v>41671</v>
      </c>
      <c r="R1" s="86">
        <v>41306</v>
      </c>
      <c r="S1" s="86">
        <v>40940</v>
      </c>
      <c r="T1" s="86">
        <v>40575</v>
      </c>
      <c r="U1" s="86">
        <v>40210</v>
      </c>
      <c r="V1" s="86">
        <v>39845</v>
      </c>
      <c r="W1" s="25">
        <v>39479</v>
      </c>
      <c r="X1" s="26">
        <v>39114</v>
      </c>
    </row>
    <row r="2" spans="1:29" x14ac:dyDescent="0.25">
      <c r="A2" s="171" t="s">
        <v>8</v>
      </c>
      <c r="B2" s="27">
        <f t="shared" ref="B2:B16" si="0">IFERROR(((E2-F2)/F2),"")</f>
        <v>1.0363858473739793</v>
      </c>
      <c r="C2" s="50">
        <v>-10732.437928812375</v>
      </c>
      <c r="D2" s="1">
        <v>-9492.9676913940639</v>
      </c>
      <c r="E2" s="114">
        <f>Austria!E$21</f>
        <v>91486.451612903242</v>
      </c>
      <c r="F2" s="1">
        <f>Austria!F$21</f>
        <v>44925.892473118278</v>
      </c>
      <c r="G2" s="1">
        <f>Austria!G$21</f>
        <v>75185.849462365586</v>
      </c>
      <c r="H2" s="1">
        <f>Austria!H$21</f>
        <v>100182.88288288287</v>
      </c>
      <c r="I2" s="1">
        <f>Austria!I$21</f>
        <v>80094.739901191497</v>
      </c>
      <c r="J2" s="1">
        <f>Austria!J$21</f>
        <v>78710.149999999994</v>
      </c>
      <c r="K2" s="1">
        <f>Austria!K$21</f>
        <v>76834</v>
      </c>
      <c r="L2" s="1">
        <f>Austria!L$21</f>
        <v>96753.37</v>
      </c>
      <c r="M2" s="1">
        <f>Austria!M$21</f>
        <v>47026</v>
      </c>
      <c r="N2" s="1">
        <f>Austria!N$21</f>
        <v>23640.26</v>
      </c>
      <c r="O2" s="1">
        <f>Austria!O$21</f>
        <v>106837.11</v>
      </c>
      <c r="P2" s="1">
        <f>Austria!P$21</f>
        <v>110264</v>
      </c>
      <c r="Q2" s="1">
        <f>Austria!Q$21</f>
        <v>103019.49</v>
      </c>
      <c r="R2" s="1">
        <f>Austria!R$21</f>
        <v>88339</v>
      </c>
      <c r="S2" s="1">
        <f>Austria!S$21</f>
        <v>125509</v>
      </c>
      <c r="T2" s="1">
        <f>Austria!T$21</f>
        <v>119136</v>
      </c>
      <c r="U2" s="1">
        <f>Austria!U$21</f>
        <v>118629</v>
      </c>
      <c r="V2" s="1">
        <f>Austria!V$21</f>
        <v>104743</v>
      </c>
      <c r="W2" s="1">
        <f>Austria!W$21</f>
        <v>100734</v>
      </c>
      <c r="X2" s="29">
        <f>Austria!X$21</f>
        <v>90932</v>
      </c>
      <c r="Z2" s="3"/>
    </row>
    <row r="3" spans="1:29" x14ac:dyDescent="0.25">
      <c r="A3" s="171" t="s">
        <v>0</v>
      </c>
      <c r="B3" s="27">
        <f t="shared" si="0"/>
        <v>0.55419345753284799</v>
      </c>
      <c r="C3" s="50">
        <v>-21808.355133002115</v>
      </c>
      <c r="D3" s="1">
        <v>-21280.609471609438</v>
      </c>
      <c r="E3" s="114">
        <f>Belgium!E$10</f>
        <v>85749.944447761489</v>
      </c>
      <c r="F3" s="1">
        <f>Belgium!F$10</f>
        <v>55173.275908574695</v>
      </c>
      <c r="G3" s="1">
        <f>Belgium!G$10</f>
        <v>77721</v>
      </c>
      <c r="H3" s="1">
        <f>Belgium!H$10</f>
        <v>70119</v>
      </c>
      <c r="I3" s="1">
        <f>Belgium!I$10</f>
        <v>115832</v>
      </c>
      <c r="J3" s="1">
        <f>Belgium!J$10</f>
        <v>69902</v>
      </c>
      <c r="K3" s="1">
        <f>Belgium!K$10</f>
        <v>105265</v>
      </c>
      <c r="L3" s="1">
        <f>Belgium!L$10</f>
        <v>115918</v>
      </c>
      <c r="M3" s="1">
        <f>Belgium!M$10</f>
        <v>15979</v>
      </c>
      <c r="N3" s="1">
        <f>Belgium!N$10</f>
        <v>73472</v>
      </c>
      <c r="O3" s="1">
        <f>Belgium!O$10</f>
        <v>131094</v>
      </c>
      <c r="P3" s="1">
        <f>Belgium!P$10</f>
        <v>149006</v>
      </c>
      <c r="Q3" s="1">
        <f>Belgium!Q$10</f>
        <v>90778</v>
      </c>
      <c r="R3" s="1">
        <f>Belgium!R$10</f>
        <v>81870</v>
      </c>
      <c r="S3" s="1">
        <f>Belgium!S$10</f>
        <v>96830</v>
      </c>
      <c r="T3" s="1">
        <f>Belgium!T$10</f>
        <v>92353.194392779784</v>
      </c>
      <c r="U3" s="1">
        <f>Belgium!U$10</f>
        <v>130408</v>
      </c>
      <c r="V3" s="1">
        <f>Belgium!V$10</f>
        <v>168200</v>
      </c>
      <c r="W3" s="1">
        <f>Belgium!W$10</f>
        <v>155500</v>
      </c>
      <c r="X3" s="29">
        <f>Belgium!X$10</f>
        <v>155100</v>
      </c>
    </row>
    <row r="4" spans="1:29" x14ac:dyDescent="0.25">
      <c r="A4" s="171" t="s">
        <v>30</v>
      </c>
      <c r="B4" s="27">
        <f t="shared" si="0"/>
        <v>1.8898397669337217</v>
      </c>
      <c r="C4" s="50">
        <v>-7939</v>
      </c>
      <c r="D4" s="1">
        <v>-3306</v>
      </c>
      <c r="E4" s="114">
        <f>'Czech Republic'!E$12</f>
        <v>31742</v>
      </c>
      <c r="F4" s="1">
        <f>'Czech Republic'!F$12</f>
        <v>10984</v>
      </c>
      <c r="G4" s="1">
        <f>'Czech Republic'!G$12</f>
        <v>28834</v>
      </c>
      <c r="H4" s="1">
        <f>'Czech Republic'!H$12</f>
        <v>39455</v>
      </c>
      <c r="I4" s="1">
        <f>'Czech Republic'!I$12</f>
        <v>37009</v>
      </c>
      <c r="J4" s="1">
        <f>'Czech Republic'!J$12</f>
        <v>37039</v>
      </c>
      <c r="K4" s="1">
        <f>'Czech Republic'!K$12</f>
        <v>23534</v>
      </c>
      <c r="L4" s="1">
        <f>'Czech Republic'!L$12</f>
        <v>45277</v>
      </c>
      <c r="M4" s="1">
        <f>'Czech Republic'!M$12</f>
        <v>26064</v>
      </c>
      <c r="N4" s="1">
        <f>'Czech Republic'!N$12</f>
        <v>25108</v>
      </c>
      <c r="O4" s="1">
        <f>'Czech Republic'!O$12</f>
        <v>37102</v>
      </c>
      <c r="P4" s="1">
        <f>'Czech Republic'!P$12</f>
        <v>29683</v>
      </c>
      <c r="Q4" s="1">
        <f>'Czech Republic'!Q$12</f>
        <v>25339</v>
      </c>
      <c r="R4" s="1">
        <f>'Czech Republic'!R$12</f>
        <v>25001</v>
      </c>
      <c r="S4" s="1">
        <f>'Czech Republic'!S$12</f>
        <v>16572</v>
      </c>
      <c r="T4" s="1">
        <f>'Czech Republic'!T$12</f>
        <v>20016</v>
      </c>
      <c r="U4" s="1">
        <f>'Czech Republic'!U$12</f>
        <v>29818</v>
      </c>
      <c r="V4" s="1">
        <f>'Czech Republic'!V$12</f>
        <v>32841</v>
      </c>
      <c r="W4" s="1">
        <f>'Czech Republic'!W$12</f>
        <v>18699</v>
      </c>
      <c r="X4" s="29">
        <f>'Czech Republic'!X$12</f>
        <v>25311</v>
      </c>
      <c r="Z4" s="3"/>
    </row>
    <row r="5" spans="1:29" x14ac:dyDescent="0.25">
      <c r="A5" s="171" t="s">
        <v>39</v>
      </c>
      <c r="B5" s="27">
        <f t="shared" si="0"/>
        <v>-0.29440491139946978</v>
      </c>
      <c r="C5" s="50">
        <v>-2724</v>
      </c>
      <c r="D5" s="1">
        <v>-1837</v>
      </c>
      <c r="E5" s="114">
        <f>Denmark!E$20</f>
        <v>5057</v>
      </c>
      <c r="F5" s="1">
        <f>Denmark!F$20</f>
        <v>7167</v>
      </c>
      <c r="G5" s="1">
        <f>Denmark!G$20</f>
        <v>4412</v>
      </c>
      <c r="H5" s="1">
        <f>Denmark!H$20</f>
        <v>6317</v>
      </c>
      <c r="I5" s="1">
        <f>Denmark!I$20</f>
        <v>7076</v>
      </c>
      <c r="J5" s="1">
        <f>Denmark!J$20</f>
        <v>4809</v>
      </c>
      <c r="K5" s="1">
        <f>Denmark!K$20</f>
        <v>4490</v>
      </c>
      <c r="L5" s="1">
        <f>Denmark!L$20</f>
        <v>9727</v>
      </c>
      <c r="M5" s="1">
        <f>Denmark!M$20</f>
        <v>3759</v>
      </c>
      <c r="N5" s="1">
        <f>Denmark!N$20</f>
        <v>8367</v>
      </c>
      <c r="O5" s="1">
        <f>Denmark!O$20</f>
        <v>7491</v>
      </c>
      <c r="P5" s="1">
        <f>Denmark!P$20</f>
        <v>6093</v>
      </c>
      <c r="Q5" s="1">
        <f>Denmark!Q$20</f>
        <v>5634</v>
      </c>
      <c r="R5" s="1">
        <f>Denmark!R$20</f>
        <v>4040</v>
      </c>
      <c r="S5" s="1">
        <f>Denmark!S$20</f>
        <v>4436</v>
      </c>
      <c r="T5" s="1">
        <f>Denmark!T$20</f>
        <v>3782</v>
      </c>
      <c r="U5" s="1">
        <f>Denmark!U$20</f>
        <v>5406</v>
      </c>
      <c r="V5" s="1">
        <f>Denmark!V$20</f>
        <v>5562</v>
      </c>
      <c r="W5" s="1">
        <f>Denmark!W$20</f>
        <v>3892</v>
      </c>
      <c r="X5" s="29">
        <f>Denmark!X$20</f>
        <v>2888</v>
      </c>
      <c r="Z5" s="3"/>
    </row>
    <row r="6" spans="1:29" ht="13.5" customHeight="1" x14ac:dyDescent="0.3">
      <c r="A6" s="40" t="s">
        <v>131</v>
      </c>
      <c r="B6" s="27">
        <f t="shared" si="0"/>
        <v>1.4372969863341549E-2</v>
      </c>
      <c r="C6" s="50">
        <v>-115473.51890000014</v>
      </c>
      <c r="D6" s="1">
        <v>-90464.758299999987</v>
      </c>
      <c r="E6" s="114">
        <f>France!E$26</f>
        <v>537231.44309999992</v>
      </c>
      <c r="F6" s="1">
        <f>France!F$26</f>
        <v>529619.24170000001</v>
      </c>
      <c r="G6" s="1">
        <f>France!G$26</f>
        <v>514309</v>
      </c>
      <c r="H6" s="1">
        <f>France!H$26</f>
        <v>460535</v>
      </c>
      <c r="I6" s="1">
        <f>France!I$26</f>
        <v>484865</v>
      </c>
      <c r="J6" s="1">
        <f>France!J$26</f>
        <v>479065</v>
      </c>
      <c r="K6" s="1">
        <f>France!K$26</f>
        <v>554401</v>
      </c>
      <c r="L6" s="1">
        <f>France!L$26</f>
        <v>468368</v>
      </c>
      <c r="M6" s="1">
        <f>France!M$26</f>
        <v>457446</v>
      </c>
      <c r="N6" s="38">
        <f>France!N$26</f>
        <v>468092</v>
      </c>
      <c r="O6" s="38">
        <f>France!O$26</f>
        <v>480183</v>
      </c>
      <c r="P6" s="38">
        <f>France!P$26</f>
        <v>431513</v>
      </c>
      <c r="Q6" s="38">
        <f>France!Q$26</f>
        <v>542997</v>
      </c>
      <c r="R6" s="38">
        <f>France!R$26</f>
        <v>298285</v>
      </c>
      <c r="S6" s="38">
        <f>France!S$26</f>
        <v>455954</v>
      </c>
      <c r="T6" s="38">
        <f>France!T$26</f>
        <v>484852</v>
      </c>
      <c r="U6" s="38">
        <f>France!U$26</f>
        <v>505923</v>
      </c>
      <c r="V6" s="102"/>
      <c r="W6" s="102"/>
      <c r="X6" s="80"/>
      <c r="Z6" s="3"/>
    </row>
    <row r="7" spans="1:29" x14ac:dyDescent="0.25">
      <c r="A7" s="171" t="s">
        <v>27</v>
      </c>
      <c r="B7" s="27">
        <f t="shared" si="0"/>
        <v>0.60984689188978713</v>
      </c>
      <c r="C7" s="50">
        <v>-47309</v>
      </c>
      <c r="D7" s="1">
        <v>-40762</v>
      </c>
      <c r="E7" s="114">
        <f>Germany!E$21</f>
        <v>310071</v>
      </c>
      <c r="F7" s="1">
        <f>Germany!F$21</f>
        <v>192609</v>
      </c>
      <c r="G7" s="1">
        <f>Germany!G$21</f>
        <v>212805</v>
      </c>
      <c r="H7" s="1">
        <f>Germany!H$21</f>
        <v>282178</v>
      </c>
      <c r="I7" s="1">
        <f>Germany!I$21</f>
        <v>267156</v>
      </c>
      <c r="J7" s="1">
        <f>Germany!J$21</f>
        <v>246317</v>
      </c>
      <c r="K7" s="1">
        <f>Germany!K$21</f>
        <v>208602</v>
      </c>
      <c r="L7" s="1">
        <f>Germany!L$21</f>
        <v>307169</v>
      </c>
      <c r="M7" s="1">
        <f>Germany!M$21</f>
        <v>150237</v>
      </c>
      <c r="N7" s="1">
        <f>Germany!N$21</f>
        <v>292737</v>
      </c>
      <c r="O7" s="1">
        <f>Germany!O$21</f>
        <v>281846</v>
      </c>
      <c r="P7" s="1">
        <f>Germany!P$21</f>
        <v>300526</v>
      </c>
      <c r="Q7" s="1">
        <f>Germany!Q$21</f>
        <v>227420</v>
      </c>
      <c r="R7" s="1">
        <f>Germany!R$21</f>
        <v>271321</v>
      </c>
      <c r="S7" s="1">
        <f>Germany!S$21</f>
        <v>287934</v>
      </c>
      <c r="T7" s="1">
        <f>Germany!T$21</f>
        <v>223253</v>
      </c>
      <c r="U7" s="1">
        <f>Germany!U$21</f>
        <v>299997</v>
      </c>
      <c r="V7" s="1">
        <f>Germany!V$21</f>
        <v>258603</v>
      </c>
      <c r="W7" s="1">
        <f>Germany!W$21</f>
        <v>230179</v>
      </c>
      <c r="X7" s="29">
        <f>Germany!X$21</f>
        <v>231906</v>
      </c>
      <c r="Z7" s="3"/>
    </row>
    <row r="8" spans="1:29" x14ac:dyDescent="0.25">
      <c r="A8" s="171" t="s">
        <v>16</v>
      </c>
      <c r="B8" s="27">
        <f t="shared" si="0"/>
        <v>1.1666246804444835E-2</v>
      </c>
      <c r="C8" s="50">
        <v>-237333</v>
      </c>
      <c r="D8" s="1">
        <v>-218592.93407670013</v>
      </c>
      <c r="E8" s="114">
        <f>Italy!E$20</f>
        <v>1078068</v>
      </c>
      <c r="F8" s="1">
        <f>Italy!F$20</f>
        <v>1065636.0271040956</v>
      </c>
      <c r="G8" s="1">
        <f>Italy!G$20</f>
        <v>1022579.3837235535</v>
      </c>
      <c r="H8" s="1">
        <f>Italy!H$20</f>
        <v>961956</v>
      </c>
      <c r="I8" s="1">
        <f>Italy!I$20</f>
        <v>1018608</v>
      </c>
      <c r="J8" s="1">
        <f>Italy!J$20</f>
        <v>1020569.5599999998</v>
      </c>
      <c r="K8" s="1">
        <f>Italy!K$20</f>
        <v>986567</v>
      </c>
      <c r="L8" s="1">
        <f>Italy!L$20</f>
        <v>1132788</v>
      </c>
      <c r="M8" s="1">
        <f>Italy!M$20</f>
        <v>681663</v>
      </c>
      <c r="N8" s="1">
        <f>Italy!N$20</f>
        <v>1137766.7949999999</v>
      </c>
      <c r="O8" s="1">
        <f>Italy!O$20</f>
        <v>1121493.0589999999</v>
      </c>
      <c r="P8" s="1">
        <f>Italy!P$20</f>
        <v>1186513</v>
      </c>
      <c r="Q8" s="1">
        <f>Italy!Q$20</f>
        <v>1018236</v>
      </c>
      <c r="R8" s="1">
        <f>Italy!R$20</f>
        <v>870359.99999999977</v>
      </c>
      <c r="S8" s="1">
        <f>Italy!S$20</f>
        <v>1046225.9999999999</v>
      </c>
      <c r="T8" s="1">
        <f>Italy!T$20</f>
        <v>1030234</v>
      </c>
      <c r="U8" s="1">
        <f>Italy!U$20</f>
        <v>1066063</v>
      </c>
      <c r="V8" s="1">
        <f>Italy!V$20</f>
        <v>1044596</v>
      </c>
      <c r="W8" s="1">
        <f>Italy!W$20</f>
        <v>917272</v>
      </c>
      <c r="X8" s="29">
        <f>Italy!X$20</f>
        <v>932503</v>
      </c>
    </row>
    <row r="9" spans="1:29" x14ac:dyDescent="0.25">
      <c r="A9" s="40" t="s">
        <v>31</v>
      </c>
      <c r="B9" s="27">
        <f t="shared" si="0"/>
        <v>0.13125845737483086</v>
      </c>
      <c r="C9" s="50">
        <v>-219000</v>
      </c>
      <c r="D9" s="1">
        <v>-189000</v>
      </c>
      <c r="E9" s="114">
        <f>Poland!E$18</f>
        <v>836000</v>
      </c>
      <c r="F9" s="1">
        <f>Poland!F$18</f>
        <v>739000</v>
      </c>
      <c r="G9" s="1">
        <f>Poland!G$18</f>
        <v>912000</v>
      </c>
      <c r="H9" s="1">
        <f>Poland!H$18</f>
        <v>1062000</v>
      </c>
      <c r="I9" s="156">
        <f>Poland!I$18</f>
        <v>1148000</v>
      </c>
      <c r="J9" s="1">
        <f>Poland!J$18</f>
        <v>1065000</v>
      </c>
      <c r="K9" s="1">
        <f>Poland!K$18</f>
        <v>634000</v>
      </c>
      <c r="L9" s="1">
        <f>Poland!L$18</f>
        <v>1215000</v>
      </c>
      <c r="M9" s="1">
        <f>Poland!M$18</f>
        <v>660000</v>
      </c>
      <c r="N9" s="38">
        <f>Poland!N$18</f>
        <v>1026000</v>
      </c>
      <c r="O9" s="38">
        <f>Poland!O$18</f>
        <v>1070000</v>
      </c>
      <c r="P9" s="38">
        <f>Poland!P$18</f>
        <v>1016000</v>
      </c>
      <c r="Q9" s="38">
        <f>Poland!Q$18</f>
        <v>877500</v>
      </c>
      <c r="R9" s="38">
        <f>Poland!R$18</f>
        <v>819000</v>
      </c>
      <c r="S9" s="38">
        <f>Poland!S$18</f>
        <v>803000</v>
      </c>
      <c r="T9" s="38">
        <f>Poland!T$18</f>
        <v>370000</v>
      </c>
      <c r="U9" s="38">
        <f>Poland!U$18</f>
        <v>460000</v>
      </c>
      <c r="V9" s="38">
        <f>Poland!V$18</f>
        <v>430000</v>
      </c>
      <c r="W9" s="38">
        <f>Poland!W$18</f>
        <v>200000</v>
      </c>
      <c r="X9" s="68">
        <f>Poland!X$18</f>
        <v>290000</v>
      </c>
      <c r="Z9" s="3"/>
    </row>
    <row r="10" spans="1:29" hidden="1" x14ac:dyDescent="0.25">
      <c r="A10" s="40" t="s">
        <v>151</v>
      </c>
      <c r="B10" s="108" t="str">
        <f t="shared" si="0"/>
        <v/>
      </c>
      <c r="C10" s="135">
        <v>0</v>
      </c>
      <c r="D10" s="1">
        <v>0</v>
      </c>
      <c r="E10" s="114"/>
      <c r="F10" s="1"/>
      <c r="G10" s="1"/>
      <c r="H10" s="1"/>
      <c r="I10" s="1"/>
      <c r="J10" s="1"/>
      <c r="K10" s="1"/>
      <c r="L10" s="1"/>
      <c r="M10" s="1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68"/>
      <c r="Z10" s="3"/>
    </row>
    <row r="11" spans="1:29" hidden="1" x14ac:dyDescent="0.25">
      <c r="A11" s="40" t="s">
        <v>167</v>
      </c>
      <c r="B11" s="27" t="str">
        <f t="shared" si="0"/>
        <v/>
      </c>
      <c r="C11" s="50">
        <v>0</v>
      </c>
      <c r="D11" s="1">
        <v>0</v>
      </c>
      <c r="E11" s="114"/>
      <c r="F11" s="1"/>
      <c r="G11" s="1"/>
      <c r="H11" s="1"/>
      <c r="I11" s="1"/>
      <c r="J11" s="1"/>
      <c r="K11" s="1"/>
      <c r="L11" s="1"/>
      <c r="M11" s="1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68"/>
      <c r="Z11" s="3"/>
      <c r="AB11" s="1"/>
      <c r="AC11" s="1"/>
    </row>
    <row r="12" spans="1:29" x14ac:dyDescent="0.25">
      <c r="A12" s="171" t="s">
        <v>36</v>
      </c>
      <c r="B12" s="27">
        <f t="shared" si="0"/>
        <v>-2.5690076673503492E-2</v>
      </c>
      <c r="C12" s="50">
        <v>-25267.562230371695</v>
      </c>
      <c r="D12" s="1">
        <v>-29365.696743338805</v>
      </c>
      <c r="E12" s="114">
        <f>Spain!E$8</f>
        <v>168216.4377696283</v>
      </c>
      <c r="F12" s="1">
        <f>Spain!F$8</f>
        <v>172651.8777467671</v>
      </c>
      <c r="G12" s="1">
        <f>Spain!G$8</f>
        <v>160669.64642706327</v>
      </c>
      <c r="H12" s="1">
        <f>Spain!H$8</f>
        <v>131460.00600870076</v>
      </c>
      <c r="I12" s="1">
        <f>Spain!I$8</f>
        <v>202108.05120452872</v>
      </c>
      <c r="J12" s="1">
        <f>Spain!J$8</f>
        <v>138743.85356012208</v>
      </c>
      <c r="K12" s="1">
        <f>Spain!K$8</f>
        <v>224870.2848243257</v>
      </c>
      <c r="L12" s="1">
        <f>Spain!L$8</f>
        <v>172318</v>
      </c>
      <c r="M12" s="1">
        <f>Spain!M$8</f>
        <v>160066</v>
      </c>
      <c r="N12" s="1">
        <f>Spain!N$8</f>
        <v>188663.23180120008</v>
      </c>
      <c r="O12" s="1">
        <f>Spain!O$8</f>
        <v>150151.59913891964</v>
      </c>
      <c r="P12" s="1">
        <f>Spain!P$8</f>
        <v>165820</v>
      </c>
      <c r="Q12" s="1">
        <f>Spain!Q$8</f>
        <v>144371.52550045299</v>
      </c>
      <c r="R12" s="1">
        <f>Spain!R$8</f>
        <v>93982.480972121703</v>
      </c>
      <c r="S12" s="1">
        <f>Spain!S$8</f>
        <v>157737.17950279795</v>
      </c>
      <c r="T12" s="1">
        <f>Spain!T$8</f>
        <v>154599</v>
      </c>
      <c r="U12" s="1">
        <f>Spain!U$8</f>
        <v>125802.49</v>
      </c>
      <c r="V12" s="1">
        <f>Spain!V$8</f>
        <v>163889.42692429299</v>
      </c>
      <c r="W12" s="1">
        <f>Spain!W$8</f>
        <v>139734</v>
      </c>
      <c r="X12" s="29">
        <f>Spain!X$8</f>
        <v>119298</v>
      </c>
      <c r="Z12" s="3"/>
    </row>
    <row r="13" spans="1:29" x14ac:dyDescent="0.25">
      <c r="A13" s="171" t="s">
        <v>59</v>
      </c>
      <c r="B13" s="27">
        <f t="shared" si="0"/>
        <v>-3.4594038690001244E-2</v>
      </c>
      <c r="C13" s="50">
        <v>-8242</v>
      </c>
      <c r="D13" s="1">
        <v>-8825</v>
      </c>
      <c r="E13" s="114">
        <f>Switzerland!E$19</f>
        <v>54446</v>
      </c>
      <c r="F13" s="1">
        <f>Switzerland!F$19</f>
        <v>56397</v>
      </c>
      <c r="G13" s="1">
        <f>Switzerland!G$19</f>
        <v>41782</v>
      </c>
      <c r="H13" s="1">
        <f>Switzerland!H$19</f>
        <v>45911</v>
      </c>
      <c r="I13" s="1">
        <f>Switzerland!I$19</f>
        <v>50014</v>
      </c>
      <c r="J13" s="1">
        <f>Switzerland!J$19</f>
        <v>49319</v>
      </c>
      <c r="K13" s="1">
        <f>Switzerland!K$19</f>
        <v>46737</v>
      </c>
      <c r="L13" s="1">
        <f>Switzerland!L$19</f>
        <v>54629</v>
      </c>
      <c r="M13" s="1">
        <f>Switzerland!M$19</f>
        <v>28870</v>
      </c>
      <c r="N13" s="1">
        <f>Switzerland!N$19</f>
        <v>48769</v>
      </c>
      <c r="O13" s="1">
        <f>Switzerland!O$19</f>
        <v>48265</v>
      </c>
      <c r="P13" s="1">
        <f>Switzerland!P$19</f>
        <v>48810</v>
      </c>
      <c r="Q13" s="1">
        <f>Switzerland!Q$19</f>
        <v>49281.000000009997</v>
      </c>
      <c r="R13" s="1">
        <f>Switzerland!R$19</f>
        <v>47359</v>
      </c>
      <c r="S13" s="1">
        <f>Switzerland!S$19</f>
        <v>53286</v>
      </c>
      <c r="T13" s="1">
        <f>Switzerland!T$19</f>
        <v>50218</v>
      </c>
      <c r="U13" s="1">
        <f>Switzerland!U$19</f>
        <v>53245</v>
      </c>
      <c r="V13" s="1">
        <f>Switzerland!V$19</f>
        <v>47370</v>
      </c>
      <c r="W13" s="1">
        <f>Switzerland!W$19</f>
        <v>49000</v>
      </c>
      <c r="X13" s="29">
        <f>Switzerland!X$19</f>
        <v>48174</v>
      </c>
      <c r="Z13" s="3"/>
    </row>
    <row r="14" spans="1:29" x14ac:dyDescent="0.25">
      <c r="A14" s="171" t="s">
        <v>1</v>
      </c>
      <c r="B14" s="27">
        <f t="shared" si="0"/>
        <v>0.4516891066295835</v>
      </c>
      <c r="C14" s="50">
        <v>-25098</v>
      </c>
      <c r="D14" s="1">
        <v>-17257</v>
      </c>
      <c r="E14" s="114">
        <f>Netherlands!E$8</f>
        <v>124748</v>
      </c>
      <c r="F14" s="1">
        <f>Netherlands!F$8</f>
        <v>85933</v>
      </c>
      <c r="G14" s="1">
        <f>Netherlands!G$8</f>
        <v>84441</v>
      </c>
      <c r="H14" s="1">
        <f>Netherlands!H$8</f>
        <v>110875</v>
      </c>
      <c r="I14" s="1">
        <f>Netherlands!I$8</f>
        <v>118338</v>
      </c>
      <c r="J14" s="1">
        <f>Netherlands!J$8</f>
        <v>99678</v>
      </c>
      <c r="K14" s="1">
        <f>Netherlands!K$8</f>
        <v>139212</v>
      </c>
      <c r="L14" s="1">
        <f>Netherlands!L$8</f>
        <v>126486.23299999999</v>
      </c>
      <c r="M14" s="1">
        <f>Netherlands!M$8</f>
        <v>98324</v>
      </c>
      <c r="N14" s="1">
        <f>Netherlands!N$8</f>
        <v>158978</v>
      </c>
      <c r="O14" s="1">
        <f>Netherlands!O$8</f>
        <v>164428</v>
      </c>
      <c r="P14" s="1">
        <f>Netherlands!P$8</f>
        <v>175127</v>
      </c>
      <c r="Q14" s="1">
        <f>Netherlands!Q$8</f>
        <v>162670</v>
      </c>
      <c r="R14" s="1">
        <f>Netherlands!R$8</f>
        <v>146000</v>
      </c>
      <c r="S14" s="1">
        <f>Netherlands!S$8</f>
        <v>211000</v>
      </c>
      <c r="T14" s="1">
        <f>Netherlands!T$8</f>
        <v>151000</v>
      </c>
      <c r="U14" s="1">
        <f>Netherlands!U$8</f>
        <v>205000</v>
      </c>
      <c r="V14" s="1">
        <f>Netherlands!V$8</f>
        <v>185000</v>
      </c>
      <c r="W14" s="1">
        <f>Netherlands!W$8</f>
        <v>175000</v>
      </c>
      <c r="X14" s="29">
        <f>Netherlands!X$8</f>
        <v>167000</v>
      </c>
    </row>
    <row r="15" spans="1:29" ht="13.8" thickBot="1" x14ac:dyDescent="0.3">
      <c r="A15" s="170" t="s">
        <v>163</v>
      </c>
      <c r="B15" s="27">
        <f t="shared" si="0"/>
        <v>0.22909482758620689</v>
      </c>
      <c r="C15" s="50">
        <v>-18173</v>
      </c>
      <c r="D15" s="1">
        <v>-17940</v>
      </c>
      <c r="E15" s="114">
        <f>UK!E$12</f>
        <v>96951</v>
      </c>
      <c r="F15" s="1">
        <f>UK!F$12</f>
        <v>78880</v>
      </c>
      <c r="G15" s="1">
        <f>UK!G$12</f>
        <v>58541</v>
      </c>
      <c r="H15" s="1">
        <f>UK!H$12</f>
        <v>90122</v>
      </c>
      <c r="I15" s="156">
        <f>UK!I$12</f>
        <v>77878</v>
      </c>
      <c r="J15" s="1">
        <f>UK!J$12</f>
        <v>75391</v>
      </c>
      <c r="K15" s="1">
        <f>UK!K$12</f>
        <v>80828</v>
      </c>
      <c r="L15" s="1">
        <f>UK!L$12</f>
        <v>81504</v>
      </c>
      <c r="M15" s="10">
        <f>UK!M$12</f>
        <v>66200</v>
      </c>
      <c r="N15" s="10">
        <f>UK!N$12</f>
        <v>71479</v>
      </c>
      <c r="O15" s="10">
        <f>UK!O$12</f>
        <v>95600</v>
      </c>
      <c r="P15" s="10">
        <f>UK!P$12</f>
        <v>89500</v>
      </c>
      <c r="Q15" s="10">
        <f>UK!Q$12</f>
        <v>93700</v>
      </c>
      <c r="R15" s="10">
        <f>UK!R$12</f>
        <v>43000</v>
      </c>
      <c r="S15" s="10">
        <f>UK!S$12</f>
        <v>78500</v>
      </c>
      <c r="T15" s="10">
        <f>UK!T$12</f>
        <v>92500</v>
      </c>
      <c r="U15" s="10">
        <f>UK!U$12</f>
        <v>89300</v>
      </c>
      <c r="V15" s="10">
        <f>UK!V$12</f>
        <v>68500</v>
      </c>
      <c r="W15" s="10">
        <f>UK!W$12</f>
        <v>70300</v>
      </c>
      <c r="X15" s="31">
        <f>UK!X$12</f>
        <v>55500</v>
      </c>
    </row>
    <row r="16" spans="1:29" ht="13.8" thickBot="1" x14ac:dyDescent="0.3">
      <c r="A16" s="32" t="s">
        <v>22</v>
      </c>
      <c r="B16" s="106">
        <f t="shared" si="0"/>
        <v>0.1253023790039603</v>
      </c>
      <c r="C16" s="74">
        <v>-739099.87419218617</v>
      </c>
      <c r="D16" s="46">
        <v>-648123.96628304245</v>
      </c>
      <c r="E16" s="45">
        <f t="shared" ref="E16" si="1">SUM(E2:E15)</f>
        <v>3419767.2769302931</v>
      </c>
      <c r="F16" s="46">
        <f t="shared" ref="F16:K16" si="2">SUM(F2:F15)</f>
        <v>3038976.3149325554</v>
      </c>
      <c r="G16" s="46">
        <f t="shared" si="2"/>
        <v>3193279.8796129823</v>
      </c>
      <c r="H16" s="46">
        <f t="shared" si="2"/>
        <v>3361110.8888915838</v>
      </c>
      <c r="I16" s="46">
        <f t="shared" si="2"/>
        <v>3606978.7911057202</v>
      </c>
      <c r="J16" s="46">
        <f t="shared" si="2"/>
        <v>3364543.5635601222</v>
      </c>
      <c r="K16" s="46">
        <f t="shared" si="2"/>
        <v>3085340.2848243257</v>
      </c>
      <c r="L16" s="46">
        <f t="shared" ref="L16:X16" si="3">SUM(L2:L15)</f>
        <v>3825937.6030000001</v>
      </c>
      <c r="M16" s="46">
        <f t="shared" si="3"/>
        <v>2395634</v>
      </c>
      <c r="N16" s="34">
        <f t="shared" si="3"/>
        <v>3523072.2868011999</v>
      </c>
      <c r="O16" s="34">
        <f>SUM(O2:O15)</f>
        <v>3694490.7681389195</v>
      </c>
      <c r="P16" s="34">
        <f>SUM(P2:P15)</f>
        <v>3708855</v>
      </c>
      <c r="Q16" s="34">
        <f t="shared" si="3"/>
        <v>3340946.0155004631</v>
      </c>
      <c r="R16" s="34">
        <f t="shared" si="3"/>
        <v>2788557.4809721215</v>
      </c>
      <c r="S16" s="34">
        <f t="shared" si="3"/>
        <v>3336984.1795027978</v>
      </c>
      <c r="T16" s="34">
        <f t="shared" si="3"/>
        <v>2791943.1943927798</v>
      </c>
      <c r="U16" s="34">
        <f t="shared" si="3"/>
        <v>3089591.49</v>
      </c>
      <c r="V16" s="34">
        <f t="shared" si="3"/>
        <v>2509304.4269242929</v>
      </c>
      <c r="W16" s="34">
        <f t="shared" si="3"/>
        <v>2060310</v>
      </c>
      <c r="X16" s="35">
        <f t="shared" si="3"/>
        <v>2118612</v>
      </c>
    </row>
    <row r="17" spans="1:29" x14ac:dyDescent="0.25"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W17" s="1"/>
      <c r="X17" s="1"/>
    </row>
    <row r="18" spans="1:29" ht="13.8" thickBot="1" x14ac:dyDescent="0.3">
      <c r="B18" s="36"/>
      <c r="C18" s="1"/>
      <c r="D18" s="1"/>
      <c r="E18" s="160"/>
      <c r="F18" s="160"/>
      <c r="G18" s="36"/>
      <c r="H18" s="36"/>
      <c r="I18" s="36"/>
      <c r="J18" s="36"/>
      <c r="K18" s="36"/>
      <c r="L18" s="36"/>
      <c r="M18" s="36"/>
      <c r="N18" s="36"/>
      <c r="W18" s="1"/>
      <c r="X18" s="1"/>
    </row>
    <row r="19" spans="1:29" ht="13.8" thickBot="1" x14ac:dyDescent="0.3">
      <c r="A19" s="23" t="s">
        <v>24</v>
      </c>
      <c r="B19" s="24" t="s">
        <v>172</v>
      </c>
      <c r="C19" s="49" t="s">
        <v>179</v>
      </c>
      <c r="D19" s="83" t="s">
        <v>173</v>
      </c>
      <c r="E19" s="159">
        <v>46054</v>
      </c>
      <c r="F19" s="86">
        <v>45689</v>
      </c>
      <c r="G19" s="86">
        <v>45323</v>
      </c>
      <c r="H19" s="86">
        <v>44958</v>
      </c>
      <c r="I19" s="86">
        <v>44593</v>
      </c>
      <c r="J19" s="86">
        <v>44228</v>
      </c>
      <c r="K19" s="86">
        <v>43862</v>
      </c>
      <c r="L19" s="86">
        <v>43497</v>
      </c>
      <c r="M19" s="86">
        <v>43132</v>
      </c>
      <c r="N19" s="25">
        <v>42767</v>
      </c>
      <c r="O19" s="86">
        <v>42401</v>
      </c>
      <c r="P19" s="86">
        <v>42036</v>
      </c>
      <c r="Q19" s="86">
        <v>41671</v>
      </c>
      <c r="R19" s="86">
        <v>41306</v>
      </c>
      <c r="S19" s="86">
        <v>40940</v>
      </c>
      <c r="T19" s="86">
        <v>40575</v>
      </c>
      <c r="U19" s="86">
        <v>40210</v>
      </c>
      <c r="V19" s="86">
        <v>39845</v>
      </c>
      <c r="W19" s="25">
        <v>39479</v>
      </c>
      <c r="X19" s="26">
        <v>39114</v>
      </c>
    </row>
    <row r="20" spans="1:29" x14ac:dyDescent="0.25">
      <c r="A20" s="20" t="s">
        <v>0</v>
      </c>
      <c r="B20" s="27">
        <f t="shared" ref="B20:B33" si="4">IFERROR(((E20-F20)/F20),"")</f>
        <v>0.34649244752909253</v>
      </c>
      <c r="C20" s="50">
        <v>-62841.538213292981</v>
      </c>
      <c r="D20" s="1">
        <v>-44208.423847701924</v>
      </c>
      <c r="E20" s="114">
        <f>Belgium!E$20</f>
        <v>139537.77164868425</v>
      </c>
      <c r="F20" s="1">
        <f>Belgium!F$20</f>
        <v>103630.56391793789</v>
      </c>
      <c r="G20" s="1">
        <f>Belgium!G$20</f>
        <v>130653</v>
      </c>
      <c r="H20" s="1">
        <f>Belgium!H$20</f>
        <v>132101</v>
      </c>
      <c r="I20" s="1">
        <f>Belgium!I$20</f>
        <v>159884</v>
      </c>
      <c r="J20" s="1">
        <f>Belgium!J$20</f>
        <v>198117</v>
      </c>
      <c r="K20" s="1">
        <f>Belgium!K$20</f>
        <v>133569</v>
      </c>
      <c r="L20" s="1">
        <f>Belgium!L$20</f>
        <v>175217</v>
      </c>
      <c r="M20" s="1">
        <f>Belgium!M$20</f>
        <v>121197</v>
      </c>
      <c r="N20" s="1">
        <f>Belgium!N$20</f>
        <v>149674</v>
      </c>
      <c r="O20" s="1">
        <f>Belgium!O$20</f>
        <v>177611</v>
      </c>
      <c r="P20" s="1">
        <f>Belgium!P$20</f>
        <v>155728</v>
      </c>
      <c r="Q20" s="1">
        <f>Belgium!Q$20</f>
        <v>121703</v>
      </c>
      <c r="R20" s="1">
        <f>Belgium!R$20</f>
        <v>86255</v>
      </c>
      <c r="S20" s="1">
        <f>Belgium!S$20</f>
        <v>92140</v>
      </c>
      <c r="T20" s="1">
        <f>Belgium!T$20</f>
        <v>99800</v>
      </c>
      <c r="U20" s="1">
        <v>95500</v>
      </c>
      <c r="V20" s="1">
        <v>39400</v>
      </c>
      <c r="W20" s="1">
        <v>92550</v>
      </c>
      <c r="X20" s="29">
        <v>104200</v>
      </c>
    </row>
    <row r="21" spans="1:29" x14ac:dyDescent="0.25">
      <c r="A21" s="20" t="s">
        <v>30</v>
      </c>
      <c r="B21" s="27">
        <f t="shared" si="4"/>
        <v>0.18463073852295409</v>
      </c>
      <c r="C21" s="50">
        <v>-678</v>
      </c>
      <c r="D21" s="1">
        <v>-281</v>
      </c>
      <c r="E21" s="114">
        <f>'Czech Republic'!E$21</f>
        <v>1187</v>
      </c>
      <c r="F21" s="1">
        <f>'Czech Republic'!F$21</f>
        <v>1002</v>
      </c>
      <c r="G21" s="1">
        <f>'Czech Republic'!G$21</f>
        <v>1477</v>
      </c>
      <c r="H21" s="1">
        <f>'Czech Republic'!H$21</f>
        <v>1076</v>
      </c>
      <c r="I21" s="1">
        <f>'Czech Republic'!I$21</f>
        <v>839</v>
      </c>
      <c r="J21" s="1">
        <f>'Czech Republic'!J$21</f>
        <v>1972</v>
      </c>
      <c r="K21" s="1">
        <f>'Czech Republic'!K$21</f>
        <v>1912</v>
      </c>
      <c r="L21" s="1">
        <f>'Czech Republic'!L$21</f>
        <v>1539</v>
      </c>
      <c r="M21" s="1">
        <f>'Czech Republic'!M$21</f>
        <v>1060</v>
      </c>
      <c r="N21" s="1">
        <f>'Czech Republic'!N$21</f>
        <v>943</v>
      </c>
      <c r="O21" s="1">
        <f>'Czech Republic'!O$21</f>
        <v>2105</v>
      </c>
      <c r="P21" s="1">
        <f>'Czech Republic'!P$21</f>
        <v>391</v>
      </c>
      <c r="Q21" s="1">
        <f>'Czech Republic'!Q$21</f>
        <v>1580</v>
      </c>
      <c r="R21" s="1">
        <f>'Czech Republic'!R$21</f>
        <v>326</v>
      </c>
      <c r="S21" s="1">
        <f>'Czech Republic'!S$21</f>
        <v>312</v>
      </c>
      <c r="T21" s="1">
        <f>'Czech Republic'!T$21</f>
        <v>80</v>
      </c>
      <c r="U21" s="1">
        <v>49</v>
      </c>
      <c r="V21" s="1">
        <v>0</v>
      </c>
      <c r="W21" s="1">
        <v>14</v>
      </c>
      <c r="X21" s="29">
        <v>9</v>
      </c>
    </row>
    <row r="22" spans="1:29" x14ac:dyDescent="0.25">
      <c r="A22" s="20" t="s">
        <v>39</v>
      </c>
      <c r="B22" s="27" t="str">
        <f t="shared" si="4"/>
        <v/>
      </c>
      <c r="C22" s="50">
        <v>0</v>
      </c>
      <c r="D22" s="1">
        <v>0</v>
      </c>
      <c r="E22" s="114">
        <f>Denmark!E$27</f>
        <v>0</v>
      </c>
      <c r="F22" s="1">
        <f>Denmark!F$27</f>
        <v>0</v>
      </c>
      <c r="G22" s="1">
        <f>Denmark!G$27</f>
        <v>0</v>
      </c>
      <c r="H22" s="1">
        <f>Denmark!H$27</f>
        <v>90</v>
      </c>
      <c r="I22" s="1">
        <f>Denmark!I$27</f>
        <v>0</v>
      </c>
      <c r="J22" s="1">
        <f>Denmark!J$27</f>
        <v>69</v>
      </c>
      <c r="K22" s="1">
        <f>Denmark!K$27</f>
        <v>36</v>
      </c>
      <c r="L22" s="1">
        <f>Denmark!L$27</f>
        <v>302</v>
      </c>
      <c r="M22" s="1">
        <f>Denmark!M$27</f>
        <v>0</v>
      </c>
      <c r="N22" s="1">
        <f>Denmark!N$27</f>
        <v>37</v>
      </c>
      <c r="O22" s="1">
        <f>Denmark!O$27</f>
        <v>184</v>
      </c>
      <c r="P22" s="1">
        <f>Denmark!P$27</f>
        <v>10</v>
      </c>
      <c r="Q22" s="1">
        <f>Denmark!Q$27</f>
        <v>174</v>
      </c>
      <c r="R22" s="1">
        <f>Denmark!R$27</f>
        <v>0</v>
      </c>
      <c r="S22" s="1">
        <f>Denmark!S$27</f>
        <v>118</v>
      </c>
      <c r="T22" s="1">
        <f>Denmark!T$27</f>
        <v>0</v>
      </c>
      <c r="U22" s="1">
        <v>0</v>
      </c>
      <c r="V22" s="1">
        <v>0</v>
      </c>
      <c r="W22" s="1">
        <v>0</v>
      </c>
      <c r="X22" s="29">
        <v>0</v>
      </c>
      <c r="Z22" s="3"/>
    </row>
    <row r="23" spans="1:29" ht="14.4" x14ac:dyDescent="0.3">
      <c r="A23" s="40" t="s">
        <v>131</v>
      </c>
      <c r="B23" s="108">
        <f t="shared" si="4"/>
        <v>-3.129260059804246E-2</v>
      </c>
      <c r="C23" s="135">
        <v>-7884.0639999999985</v>
      </c>
      <c r="D23" s="1">
        <v>-5753.2465999999986</v>
      </c>
      <c r="E23" s="114">
        <f>France!E38</f>
        <v>9646.1494000000021</v>
      </c>
      <c r="F23" s="1">
        <f>France!F38</f>
        <v>9957.7534000000014</v>
      </c>
      <c r="G23" s="1">
        <f>France!G38</f>
        <v>5701</v>
      </c>
      <c r="H23" s="1">
        <f>France!H38</f>
        <v>4408</v>
      </c>
      <c r="I23" s="1">
        <f>France!I38</f>
        <v>3755</v>
      </c>
      <c r="J23" s="1">
        <f>France!J38</f>
        <v>7480</v>
      </c>
      <c r="K23" s="1">
        <f>France!K38</f>
        <v>5396</v>
      </c>
      <c r="L23" s="1">
        <f>France!L38</f>
        <v>7075</v>
      </c>
      <c r="M23" s="1">
        <f>France!M38</f>
        <v>6006</v>
      </c>
      <c r="N23" s="1">
        <f>France!N38</f>
        <v>5497</v>
      </c>
      <c r="O23" s="1">
        <f>France!O38</f>
        <v>6208</v>
      </c>
      <c r="P23" s="1">
        <f>France!P38</f>
        <v>6113</v>
      </c>
      <c r="Q23" s="1">
        <f>France!Q38</f>
        <v>4872</v>
      </c>
      <c r="R23" s="1">
        <f>France!R38</f>
        <v>2623</v>
      </c>
      <c r="S23" s="1">
        <f>France!S38</f>
        <v>7348</v>
      </c>
      <c r="T23" s="1">
        <f>France!T38</f>
        <v>0</v>
      </c>
      <c r="U23" s="1">
        <v>5969</v>
      </c>
      <c r="V23" s="102"/>
      <c r="W23" s="102"/>
      <c r="X23" s="80"/>
    </row>
    <row r="24" spans="1:29" x14ac:dyDescent="0.25">
      <c r="A24" s="20" t="s">
        <v>27</v>
      </c>
      <c r="B24" s="27">
        <f t="shared" si="4"/>
        <v>0.13695583095011121</v>
      </c>
      <c r="C24" s="50">
        <v>-980</v>
      </c>
      <c r="D24" s="1">
        <v>-1311</v>
      </c>
      <c r="E24" s="114">
        <f>Germany!E$26</f>
        <v>3578</v>
      </c>
      <c r="F24" s="1">
        <f>Germany!F$26</f>
        <v>3147</v>
      </c>
      <c r="G24" s="1">
        <f>Germany!G$26</f>
        <v>3111</v>
      </c>
      <c r="H24" s="1">
        <f>Germany!H$26</f>
        <v>1475</v>
      </c>
      <c r="I24" s="1">
        <f>Germany!I$26</f>
        <v>1304</v>
      </c>
      <c r="J24" s="1">
        <f>Germany!J$26</f>
        <v>2355</v>
      </c>
      <c r="K24" s="1">
        <f>Germany!K$26</f>
        <v>2405</v>
      </c>
      <c r="L24" s="1">
        <f>Germany!L$26</f>
        <v>2028</v>
      </c>
      <c r="M24" s="1">
        <f>Germany!M$26</f>
        <v>1624</v>
      </c>
      <c r="N24" s="38">
        <f>Germany!N$26</f>
        <v>662</v>
      </c>
      <c r="O24" s="1">
        <f>Germany!O$26</f>
        <v>1490</v>
      </c>
      <c r="P24" s="1">
        <f>Germany!P$26</f>
        <v>1553</v>
      </c>
      <c r="Q24" s="1">
        <f>Germany!Q$26</f>
        <v>1733</v>
      </c>
      <c r="R24" s="1">
        <f>Germany!R$26</f>
        <v>195</v>
      </c>
      <c r="S24" s="1">
        <f>Germany!S$26</f>
        <v>1246</v>
      </c>
      <c r="T24" s="1">
        <f>Germany!T$26</f>
        <v>780</v>
      </c>
      <c r="U24" s="1">
        <v>1108</v>
      </c>
      <c r="V24" s="1">
        <v>316</v>
      </c>
      <c r="W24" s="1">
        <v>554</v>
      </c>
      <c r="X24" s="29">
        <v>298</v>
      </c>
      <c r="Z24" s="3"/>
    </row>
    <row r="25" spans="1:29" x14ac:dyDescent="0.25">
      <c r="A25" s="40" t="s">
        <v>16</v>
      </c>
      <c r="B25" s="27">
        <f t="shared" si="4"/>
        <v>-0.31370505646631358</v>
      </c>
      <c r="C25" s="50">
        <v>-25013.7604218946</v>
      </c>
      <c r="D25" s="1">
        <v>-32341.461195651675</v>
      </c>
      <c r="E25" s="114">
        <f>Italy!E$29</f>
        <v>43861.78311149151</v>
      </c>
      <c r="F25" s="1">
        <f>Italy!F$29</f>
        <v>63910.98102173119</v>
      </c>
      <c r="G25" s="1">
        <f>Italy!G$29</f>
        <v>11782.585867949854</v>
      </c>
      <c r="H25" s="1">
        <f>Italy!H$29</f>
        <v>72020.083690124156</v>
      </c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3"/>
      <c r="Z25" s="3"/>
    </row>
    <row r="26" spans="1:29" x14ac:dyDescent="0.25">
      <c r="A26" s="40" t="s">
        <v>31</v>
      </c>
      <c r="B26" s="27">
        <f t="shared" si="4"/>
        <v>0.17543859649122806</v>
      </c>
      <c r="C26" s="50">
        <v>-21500</v>
      </c>
      <c r="D26" s="1">
        <v>-16500</v>
      </c>
      <c r="E26" s="114">
        <f>Poland!E$25</f>
        <v>33500</v>
      </c>
      <c r="F26" s="1">
        <f>Poland!F$25</f>
        <v>28500</v>
      </c>
      <c r="G26" s="1">
        <f>Poland!G$25</f>
        <v>22500</v>
      </c>
      <c r="H26" s="1">
        <f>Poland!H$25</f>
        <v>20000</v>
      </c>
      <c r="I26" s="156">
        <f>Poland!I$25</f>
        <v>17000</v>
      </c>
      <c r="J26" s="1">
        <f>Poland!J$25</f>
        <v>9000</v>
      </c>
      <c r="K26" s="1">
        <f>Poland!K$25</f>
        <v>1000</v>
      </c>
      <c r="L26" s="1">
        <f>Poland!L$25</f>
        <v>8000</v>
      </c>
      <c r="M26" s="1">
        <f>Poland!M$25</f>
        <v>1000</v>
      </c>
      <c r="N26" s="1">
        <f>Poland!N$25</f>
        <v>1000</v>
      </c>
      <c r="O26" s="38">
        <f>Poland!O$25</f>
        <v>7000</v>
      </c>
      <c r="P26" s="38">
        <f>Poland!P$25</f>
        <v>3000</v>
      </c>
      <c r="Q26" s="38">
        <f>Poland!Q$25</f>
        <v>12000</v>
      </c>
      <c r="R26" s="38">
        <f>Poland!R$25</f>
        <v>1000</v>
      </c>
      <c r="S26" s="38">
        <f>Poland!S$25</f>
        <v>8000</v>
      </c>
      <c r="T26" s="38">
        <f>Poland!T$25</f>
        <v>8000</v>
      </c>
      <c r="U26" s="38">
        <v>18000</v>
      </c>
      <c r="V26" s="38">
        <v>10000</v>
      </c>
      <c r="W26" s="38">
        <v>5000</v>
      </c>
      <c r="X26" s="68">
        <v>13000</v>
      </c>
      <c r="Z26" s="3"/>
    </row>
    <row r="27" spans="1:29" hidden="1" x14ac:dyDescent="0.25">
      <c r="A27" s="40" t="s">
        <v>151</v>
      </c>
      <c r="B27" s="115"/>
      <c r="C27" s="136">
        <v>0</v>
      </c>
      <c r="D27" s="92">
        <v>-62063</v>
      </c>
      <c r="E27" s="125"/>
      <c r="F27" s="92"/>
      <c r="G27" s="92"/>
      <c r="H27" s="92"/>
      <c r="I27" s="92"/>
      <c r="J27" s="92">
        <f>Portugal!I$14</f>
        <v>0</v>
      </c>
      <c r="K27" s="92">
        <f>Portugal!J$14</f>
        <v>66403</v>
      </c>
      <c r="L27" s="92">
        <f>Portugal!K$14</f>
        <v>56990</v>
      </c>
      <c r="M27" s="92"/>
      <c r="N27" s="38"/>
      <c r="O27" s="107"/>
      <c r="P27" s="107"/>
      <c r="Q27" s="107"/>
      <c r="R27" s="107"/>
      <c r="S27" s="107"/>
      <c r="T27" s="107"/>
      <c r="U27" s="38"/>
      <c r="V27" s="38"/>
      <c r="W27" s="38"/>
      <c r="X27" s="68"/>
      <c r="Z27" s="3"/>
    </row>
    <row r="28" spans="1:29" hidden="1" x14ac:dyDescent="0.25">
      <c r="A28" s="40" t="s">
        <v>167</v>
      </c>
      <c r="B28" s="27" t="str">
        <f t="shared" si="4"/>
        <v/>
      </c>
      <c r="C28" s="50">
        <v>0</v>
      </c>
      <c r="D28" s="1">
        <v>0</v>
      </c>
      <c r="E28" s="114"/>
      <c r="F28" s="1"/>
      <c r="G28" s="1"/>
      <c r="H28" s="1"/>
      <c r="I28" s="1"/>
      <c r="J28" s="1"/>
      <c r="K28" s="1"/>
      <c r="L28" s="1"/>
      <c r="M28" s="1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68"/>
      <c r="Z28" s="3"/>
      <c r="AB28" s="1"/>
      <c r="AC28" s="1"/>
    </row>
    <row r="29" spans="1:29" x14ac:dyDescent="0.25">
      <c r="A29" s="20" t="s">
        <v>36</v>
      </c>
      <c r="B29" s="27">
        <f t="shared" si="4"/>
        <v>0.46055406236173879</v>
      </c>
      <c r="C29" s="50">
        <v>-7931.6385188304193</v>
      </c>
      <c r="D29" s="1">
        <v>-6212.9007198300933</v>
      </c>
      <c r="E29" s="114">
        <f>Spain!E$17</f>
        <v>32439.361481169581</v>
      </c>
      <c r="F29" s="1">
        <f>Spain!F$17</f>
        <v>22210.312043304049</v>
      </c>
      <c r="G29" s="1">
        <f>Spain!G$17</f>
        <v>42073.050211107475</v>
      </c>
      <c r="H29" s="1">
        <f>Spain!H$17</f>
        <v>33038.784299735125</v>
      </c>
      <c r="I29" s="1">
        <f>Spain!I$17</f>
        <v>48429.233537408465</v>
      </c>
      <c r="J29" s="1">
        <f>Spain!J$17</f>
        <v>50612.217686604658</v>
      </c>
      <c r="K29" s="1">
        <f>Spain!K$17</f>
        <v>52814.943703521414</v>
      </c>
      <c r="L29" s="1">
        <f>Spain!L$17</f>
        <v>53235</v>
      </c>
      <c r="M29" s="1">
        <f>Spain!M$17</f>
        <v>59778</v>
      </c>
      <c r="N29" s="38">
        <f>Spain!N$17</f>
        <v>50866.267070448375</v>
      </c>
      <c r="O29" s="1">
        <f>Spain!O$17</f>
        <v>51091.610535716565</v>
      </c>
      <c r="P29" s="1">
        <f>Spain!P$17</f>
        <v>62653.72</v>
      </c>
      <c r="Q29" s="1">
        <f>Spain!Q$17</f>
        <v>77651.039488424853</v>
      </c>
      <c r="R29" s="1">
        <f>Spain!R$17</f>
        <v>43618.945105692161</v>
      </c>
      <c r="S29" s="1">
        <f>Spain!S$17</f>
        <v>96273</v>
      </c>
      <c r="T29" s="1">
        <f>Spain!T$17</f>
        <v>93514</v>
      </c>
      <c r="U29" s="1">
        <v>65614</v>
      </c>
      <c r="V29" s="1">
        <v>72520</v>
      </c>
      <c r="W29" s="1">
        <v>71382</v>
      </c>
      <c r="X29" s="29">
        <v>79219</v>
      </c>
      <c r="Z29" s="3"/>
    </row>
    <row r="30" spans="1:29" x14ac:dyDescent="0.25">
      <c r="A30" s="20" t="s">
        <v>59</v>
      </c>
      <c r="B30" s="27">
        <f t="shared" si="4"/>
        <v>-0.6824345146379045</v>
      </c>
      <c r="C30" s="50">
        <v>-1957</v>
      </c>
      <c r="D30" s="1">
        <v>-2246</v>
      </c>
      <c r="E30" s="114">
        <f>Switzerland!E$28</f>
        <v>2061</v>
      </c>
      <c r="F30" s="1">
        <f>Switzerland!F$28</f>
        <v>6490</v>
      </c>
      <c r="G30" s="1">
        <f>Switzerland!G$28</f>
        <v>2693</v>
      </c>
      <c r="H30" s="1">
        <f>Switzerland!H$28</f>
        <v>3955</v>
      </c>
      <c r="I30" s="1">
        <f>Switzerland!I$28</f>
        <v>3400</v>
      </c>
      <c r="J30" s="1">
        <f>Switzerland!J$28</f>
        <v>5804</v>
      </c>
      <c r="K30" s="1">
        <f>Switzerland!K$28</f>
        <v>6520</v>
      </c>
      <c r="L30" s="1">
        <f>Switzerland!L$28</f>
        <v>6222</v>
      </c>
      <c r="M30" s="1">
        <f>Switzerland!M$28</f>
        <v>145</v>
      </c>
      <c r="N30" s="1">
        <f>Switzerland!N$28</f>
        <v>3838</v>
      </c>
      <c r="O30" s="1">
        <f>Switzerland!O$28</f>
        <v>3879</v>
      </c>
      <c r="P30" s="1">
        <f>Switzerland!P$28</f>
        <v>5506</v>
      </c>
      <c r="Q30" s="1">
        <f>Switzerland!Q$28</f>
        <v>4201</v>
      </c>
      <c r="R30" s="1">
        <f>Switzerland!R$28</f>
        <v>2050</v>
      </c>
      <c r="S30" s="1">
        <f>Switzerland!S$28</f>
        <v>7392</v>
      </c>
      <c r="T30" s="1">
        <f>Switzerland!T$28</f>
        <v>1557</v>
      </c>
      <c r="U30" s="1">
        <v>6542</v>
      </c>
      <c r="V30" s="1">
        <v>495</v>
      </c>
      <c r="W30" s="1">
        <v>7253</v>
      </c>
      <c r="X30" s="29">
        <v>2589</v>
      </c>
      <c r="Z30" s="3"/>
    </row>
    <row r="31" spans="1:29" x14ac:dyDescent="0.25">
      <c r="A31" s="20" t="s">
        <v>1</v>
      </c>
      <c r="B31" s="27">
        <f t="shared" si="4"/>
        <v>0.19907820301667176</v>
      </c>
      <c r="C31" s="50">
        <v>-40165</v>
      </c>
      <c r="D31" s="1">
        <v>-37621</v>
      </c>
      <c r="E31" s="114">
        <f>Netherlands!E$15</f>
        <v>184194</v>
      </c>
      <c r="F31" s="1">
        <f>Netherlands!F$15</f>
        <v>153613</v>
      </c>
      <c r="G31" s="1">
        <f>Netherlands!G$15</f>
        <v>179581</v>
      </c>
      <c r="H31" s="1">
        <f>Netherlands!H$15</f>
        <v>170521</v>
      </c>
      <c r="I31" s="1">
        <f>Netherlands!I$15</f>
        <v>148119</v>
      </c>
      <c r="J31" s="1">
        <f>Netherlands!J$15</f>
        <v>177584</v>
      </c>
      <c r="K31" s="1">
        <f>Netherlands!K$15</f>
        <v>156918</v>
      </c>
      <c r="L31" s="1">
        <f>Netherlands!L$15</f>
        <v>181888.21500000003</v>
      </c>
      <c r="M31" s="1">
        <f>Netherlands!M$15</f>
        <v>148056</v>
      </c>
      <c r="N31" s="1">
        <f>Netherlands!N$15</f>
        <v>165715</v>
      </c>
      <c r="O31" s="1">
        <f>Netherlands!O$15</f>
        <v>166835</v>
      </c>
      <c r="P31" s="1">
        <f>Netherlands!P$15</f>
        <v>154690</v>
      </c>
      <c r="Q31" s="1">
        <f>Netherlands!Q$15</f>
        <v>154874</v>
      </c>
      <c r="R31" s="1">
        <f>Netherlands!R$15</f>
        <v>79000</v>
      </c>
      <c r="S31" s="1">
        <f>Netherlands!S$15</f>
        <v>132000</v>
      </c>
      <c r="T31" s="1">
        <f>Netherlands!T$15</f>
        <v>103000</v>
      </c>
      <c r="U31" s="1">
        <v>121000</v>
      </c>
      <c r="V31" s="1">
        <v>54000</v>
      </c>
      <c r="W31" s="1">
        <v>82000</v>
      </c>
      <c r="X31" s="29">
        <v>80000</v>
      </c>
    </row>
    <row r="32" spans="1:29" ht="13.8" thickBot="1" x14ac:dyDescent="0.3">
      <c r="A32" s="30" t="s">
        <v>171</v>
      </c>
      <c r="B32" s="28">
        <f t="shared" si="4"/>
        <v>0.70066518847006654</v>
      </c>
      <c r="C32" s="51">
        <v>-1751</v>
      </c>
      <c r="D32" s="10">
        <v>-1681</v>
      </c>
      <c r="E32" s="124">
        <f>UK!E$19</f>
        <v>9971</v>
      </c>
      <c r="F32" s="10">
        <f>UK!F$19</f>
        <v>5863</v>
      </c>
      <c r="G32" s="10">
        <f>UK!G$19</f>
        <v>4544</v>
      </c>
      <c r="H32" s="10">
        <f>UK!H$19</f>
        <v>4691</v>
      </c>
      <c r="I32" s="157">
        <f>UK!I$19</f>
        <v>4477</v>
      </c>
      <c r="J32" s="10">
        <f>UK!J$19</f>
        <v>4714</v>
      </c>
      <c r="K32" s="10">
        <f>UK!K$19</f>
        <v>3697</v>
      </c>
      <c r="L32" s="10">
        <f>UK!L$19</f>
        <v>5023</v>
      </c>
      <c r="M32" s="10">
        <f>UK!M$19</f>
        <v>5933</v>
      </c>
      <c r="N32" s="1">
        <f>UK!N$19</f>
        <v>5290</v>
      </c>
      <c r="O32" s="10">
        <f>UK!O$19</f>
        <v>8400</v>
      </c>
      <c r="P32" s="10">
        <f>UK!P$19</f>
        <v>6000</v>
      </c>
      <c r="Q32" s="10">
        <f>UK!Q$19</f>
        <v>9000</v>
      </c>
      <c r="R32" s="10">
        <f>UK!R$19</f>
        <v>6000</v>
      </c>
      <c r="S32" s="10">
        <f>UK!S$19</f>
        <v>7500</v>
      </c>
      <c r="T32" s="10">
        <f>UK!T$19</f>
        <v>8000</v>
      </c>
      <c r="U32" s="10">
        <v>11000</v>
      </c>
      <c r="V32" s="10">
        <v>4500</v>
      </c>
      <c r="W32" s="10">
        <v>5000</v>
      </c>
      <c r="X32" s="31">
        <v>5500</v>
      </c>
      <c r="Z32" s="3"/>
    </row>
    <row r="33" spans="1:25" ht="13.8" thickBot="1" x14ac:dyDescent="0.3">
      <c r="A33" s="32" t="s">
        <v>22</v>
      </c>
      <c r="B33" s="33">
        <f t="shared" si="4"/>
        <v>0.1547769172462049</v>
      </c>
      <c r="C33" s="52">
        <v>-170702.00115401798</v>
      </c>
      <c r="D33" s="34">
        <v>-210219.03236318368</v>
      </c>
      <c r="E33" s="45">
        <f t="shared" ref="E33" si="5">SUM(E20:E32)</f>
        <v>459976.06564134534</v>
      </c>
      <c r="F33" s="34">
        <f t="shared" ref="F33:L33" si="6">SUM(F20:F32)</f>
        <v>398324.6103829731</v>
      </c>
      <c r="G33" s="34">
        <f t="shared" si="6"/>
        <v>404115.63607905735</v>
      </c>
      <c r="H33" s="34">
        <f t="shared" si="6"/>
        <v>443375.86798985931</v>
      </c>
      <c r="I33" s="34">
        <f t="shared" si="6"/>
        <v>387207.23353740847</v>
      </c>
      <c r="J33" s="34">
        <f t="shared" si="6"/>
        <v>457707.21768660465</v>
      </c>
      <c r="K33" s="34">
        <f t="shared" si="6"/>
        <v>430670.94370352139</v>
      </c>
      <c r="L33" s="34">
        <f t="shared" si="6"/>
        <v>497519.21500000003</v>
      </c>
      <c r="M33" s="34">
        <f t="shared" ref="M33:R33" si="7">SUM(M20:M32)</f>
        <v>344799</v>
      </c>
      <c r="N33" s="46">
        <f t="shared" si="7"/>
        <v>383522.26707044838</v>
      </c>
      <c r="O33" s="34">
        <f t="shared" si="7"/>
        <v>424803.61053571658</v>
      </c>
      <c r="P33" s="34">
        <f t="shared" si="7"/>
        <v>395644.72</v>
      </c>
      <c r="Q33" s="34">
        <f t="shared" si="7"/>
        <v>387788.03948842484</v>
      </c>
      <c r="R33" s="34">
        <f t="shared" si="7"/>
        <v>221067.94510569217</v>
      </c>
      <c r="S33" s="34">
        <f t="shared" ref="S33:X33" si="8">SUM(S20:S32)</f>
        <v>352329</v>
      </c>
      <c r="T33" s="34">
        <f t="shared" si="8"/>
        <v>314731</v>
      </c>
      <c r="U33" s="34">
        <f t="shared" si="8"/>
        <v>324782</v>
      </c>
      <c r="V33" s="34">
        <f t="shared" si="8"/>
        <v>181231</v>
      </c>
      <c r="W33" s="34">
        <f t="shared" si="8"/>
        <v>263753</v>
      </c>
      <c r="X33" s="35">
        <f t="shared" si="8"/>
        <v>284815</v>
      </c>
    </row>
    <row r="34" spans="1:25" x14ac:dyDescent="0.25">
      <c r="B34" s="3" t="s">
        <v>175</v>
      </c>
      <c r="X34" s="1"/>
    </row>
    <row r="35" spans="1:25" x14ac:dyDescent="0.25">
      <c r="B35" s="53" t="s">
        <v>164</v>
      </c>
      <c r="X35" s="1"/>
    </row>
    <row r="36" spans="1:25" x14ac:dyDescent="0.25">
      <c r="B36" s="53" t="s">
        <v>169</v>
      </c>
      <c r="W36" s="1"/>
      <c r="X36" s="1"/>
    </row>
    <row r="37" spans="1:25" x14ac:dyDescent="0.25">
      <c r="W37" s="1"/>
      <c r="X37" s="1"/>
    </row>
    <row r="38" spans="1:25" hidden="1" x14ac:dyDescent="0.25">
      <c r="A38" s="76"/>
      <c r="E38" s="1"/>
      <c r="F38" s="1"/>
      <c r="G38" s="1">
        <v>226487.3973173108</v>
      </c>
      <c r="H38" s="1">
        <v>-322134.57395902835</v>
      </c>
      <c r="I38" s="1"/>
    </row>
    <row r="39" spans="1:25" ht="25.5" hidden="1" customHeight="1" x14ac:dyDescent="0.25">
      <c r="A39" s="12"/>
      <c r="B39" s="12"/>
      <c r="C39" s="172"/>
      <c r="D39" s="173"/>
      <c r="E39" s="173"/>
      <c r="F39" s="1"/>
      <c r="G39" s="1">
        <v>55860.429562287987</v>
      </c>
      <c r="H39" s="1">
        <v>-45051.257606886211</v>
      </c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3"/>
      <c r="X39" s="13"/>
    </row>
    <row r="40" spans="1:25" x14ac:dyDescent="0.25">
      <c r="C40" s="92"/>
      <c r="D40" s="92"/>
      <c r="E40" s="92"/>
      <c r="W40" s="1"/>
      <c r="X40" s="1"/>
    </row>
    <row r="41" spans="1:25" ht="25.5" customHeight="1" x14ac:dyDescent="0.25">
      <c r="A41" s="16"/>
      <c r="B41" s="16"/>
      <c r="C41" s="174"/>
      <c r="D41" s="16"/>
      <c r="E41" s="17"/>
      <c r="F41" s="17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7"/>
      <c r="X41" s="17"/>
      <c r="Y41" s="9"/>
    </row>
    <row r="42" spans="1:25" x14ac:dyDescent="0.25">
      <c r="C42" s="92"/>
      <c r="W42" s="14"/>
      <c r="X42" s="14"/>
      <c r="Y42" s="1"/>
    </row>
    <row r="43" spans="1:25" x14ac:dyDescent="0.25">
      <c r="C43" s="92"/>
      <c r="W43" s="14"/>
      <c r="X43" s="14"/>
      <c r="Y43" s="1"/>
    </row>
    <row r="44" spans="1:25" x14ac:dyDescent="0.25">
      <c r="C44" s="92"/>
      <c r="W44" s="14"/>
      <c r="X44" s="14"/>
      <c r="Y44" s="1"/>
    </row>
    <row r="45" spans="1:25" x14ac:dyDescent="0.25">
      <c r="C45" s="92"/>
      <c r="W45" s="14"/>
      <c r="X45" s="14"/>
      <c r="Y45" s="1"/>
    </row>
    <row r="46" spans="1:25" x14ac:dyDescent="0.25">
      <c r="C46" s="92"/>
      <c r="O46" s="3"/>
      <c r="W46" s="14"/>
      <c r="X46" s="14"/>
      <c r="Y46" s="1"/>
    </row>
    <row r="47" spans="1:25" x14ac:dyDescent="0.25">
      <c r="B47" s="92"/>
      <c r="W47" s="14"/>
      <c r="X47" s="14"/>
      <c r="Y47" s="1"/>
    </row>
    <row r="48" spans="1:25" x14ac:dyDescent="0.25">
      <c r="C48" s="175"/>
      <c r="W48" s="14"/>
      <c r="X48" s="14"/>
      <c r="Y48" s="1"/>
    </row>
    <row r="49" spans="1:25" x14ac:dyDescent="0.25">
      <c r="A49" s="18"/>
      <c r="B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4"/>
      <c r="X49" s="14"/>
      <c r="Y49" s="1"/>
    </row>
    <row r="50" spans="1:25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4"/>
      <c r="X50" s="14"/>
      <c r="Y50" s="1"/>
    </row>
    <row r="51" spans="1:25" x14ac:dyDescent="0.25">
      <c r="A51" s="18"/>
      <c r="B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4"/>
      <c r="X51" s="14"/>
      <c r="Y51" s="1"/>
    </row>
    <row r="52" spans="1:25" x14ac:dyDescent="0.25">
      <c r="A52" s="18"/>
      <c r="B52" s="18"/>
      <c r="C52" s="1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4"/>
      <c r="X52" s="14"/>
      <c r="Y52" s="1"/>
    </row>
    <row r="53" spans="1:25" x14ac:dyDescent="0.25">
      <c r="A53" s="18"/>
      <c r="B53" s="18"/>
      <c r="C53" s="84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4"/>
      <c r="X53" s="14"/>
      <c r="Y53" s="1"/>
    </row>
    <row r="54" spans="1:25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4"/>
      <c r="X54" s="14"/>
      <c r="Y54" s="1"/>
    </row>
    <row r="55" spans="1:25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4"/>
      <c r="X55" s="14"/>
      <c r="Y55" s="1"/>
    </row>
    <row r="56" spans="1:25" x14ac:dyDescent="0.25">
      <c r="W56" s="14"/>
      <c r="X56" s="14"/>
      <c r="Y56" s="1"/>
    </row>
    <row r="57" spans="1:25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4"/>
      <c r="X57" s="14"/>
      <c r="Y57" s="2"/>
    </row>
    <row r="58" spans="1:25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4"/>
      <c r="X58" s="14"/>
    </row>
    <row r="59" spans="1:25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4"/>
      <c r="X59" s="14"/>
      <c r="Y59" s="1"/>
    </row>
    <row r="60" spans="1:25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4"/>
      <c r="X60" s="14"/>
      <c r="Y60" s="1"/>
    </row>
    <row r="61" spans="1:25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4"/>
      <c r="X61" s="14"/>
      <c r="Y61" s="1"/>
    </row>
    <row r="62" spans="1:25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4"/>
      <c r="X62" s="14"/>
      <c r="Y62" s="1"/>
    </row>
    <row r="63" spans="1:25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4"/>
      <c r="X63" s="14"/>
      <c r="Y63" s="1"/>
    </row>
    <row r="64" spans="1:25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4"/>
      <c r="X64" s="14"/>
      <c r="Y64" s="2"/>
    </row>
    <row r="65" spans="1:24" ht="26.2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5"/>
      <c r="X65" s="15"/>
    </row>
    <row r="66" spans="1:24" x14ac:dyDescent="0.25">
      <c r="W66" s="1"/>
      <c r="X66" s="1"/>
    </row>
    <row r="67" spans="1:24" x14ac:dyDescent="0.25">
      <c r="W67" s="1"/>
      <c r="X67" s="1"/>
    </row>
    <row r="68" spans="1:24" x14ac:dyDescent="0.25">
      <c r="W68" s="1"/>
      <c r="X68" s="1"/>
    </row>
    <row r="69" spans="1:24" x14ac:dyDescent="0.25">
      <c r="W69" s="11"/>
      <c r="X69" s="11"/>
    </row>
    <row r="70" spans="1:24" x14ac:dyDescent="0.25">
      <c r="W70" s="11"/>
      <c r="X70" s="11"/>
    </row>
    <row r="71" spans="1:24" x14ac:dyDescent="0.25">
      <c r="W71" s="1"/>
      <c r="X71" s="11"/>
    </row>
    <row r="72" spans="1:24" x14ac:dyDescent="0.25">
      <c r="W72" s="1"/>
      <c r="X72" s="1"/>
    </row>
    <row r="73" spans="1:24" x14ac:dyDescent="0.25">
      <c r="W73" s="1"/>
      <c r="X73" s="1"/>
    </row>
    <row r="74" spans="1:24" x14ac:dyDescent="0.25">
      <c r="W74" s="1"/>
      <c r="X74" s="1"/>
    </row>
    <row r="75" spans="1:24" x14ac:dyDescent="0.25">
      <c r="W75" s="1"/>
      <c r="X75" s="1"/>
    </row>
    <row r="76" spans="1:24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2"/>
      <c r="X76" s="2"/>
    </row>
    <row r="81" spans="1:22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</row>
  </sheetData>
  <phoneticPr fontId="2" type="noConversion"/>
  <conditionalFormatting sqref="E1">
    <cfRule type="expression" dxfId="30" priority="3">
      <formula>ISBLANK(XFD1)=FALSE</formula>
    </cfRule>
  </conditionalFormatting>
  <conditionalFormatting sqref="E19">
    <cfRule type="expression" dxfId="29" priority="1">
      <formula>ISBLANK(XFD19)=FALSE</formula>
    </cfRule>
  </conditionalFormatting>
  <conditionalFormatting sqref="F38:H39">
    <cfRule type="cellIs" dxfId="28" priority="6" operator="notEqual">
      <formula>0</formula>
    </cfRule>
    <cfRule type="cellIs" dxfId="27" priority="7" operator="equal">
      <formula>0</formula>
    </cfRule>
  </conditionalFormatting>
  <pageMargins left="0.75" right="0.75" top="1" bottom="1" header="0.5" footer="0.5"/>
  <pageSetup paperSize="9" scale="73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DD47"/>
  <sheetViews>
    <sheetView zoomScaleNormal="100" workbookViewId="0"/>
  </sheetViews>
  <sheetFormatPr defaultColWidth="9.109375" defaultRowHeight="13.2" x14ac:dyDescent="0.25"/>
  <cols>
    <col min="1" max="1" width="19.6640625" customWidth="1"/>
    <col min="2" max="2" width="12" bestFit="1" customWidth="1"/>
    <col min="3" max="3" width="11.33203125" customWidth="1"/>
    <col min="4" max="4" width="11.33203125" bestFit="1" customWidth="1"/>
    <col min="5" max="5" width="11.33203125" customWidth="1"/>
    <col min="6" max="13" width="11.44140625" customWidth="1"/>
    <col min="14" max="22" width="10.6640625" customWidth="1"/>
  </cols>
  <sheetData>
    <row r="1" spans="1:23" ht="13.8" thickBot="1" x14ac:dyDescent="0.3">
      <c r="A1" s="39" t="s">
        <v>89</v>
      </c>
      <c r="B1" s="24" t="s">
        <v>172</v>
      </c>
      <c r="C1" s="49" t="s">
        <v>179</v>
      </c>
      <c r="D1" s="83" t="s">
        <v>173</v>
      </c>
      <c r="E1" s="159">
        <v>46054</v>
      </c>
      <c r="F1" s="86">
        <v>45689</v>
      </c>
      <c r="G1" s="86">
        <v>45323</v>
      </c>
      <c r="H1" s="86">
        <v>44958</v>
      </c>
      <c r="I1" s="86">
        <v>44593</v>
      </c>
      <c r="J1" s="86">
        <v>44228</v>
      </c>
      <c r="K1" s="86">
        <v>43862</v>
      </c>
      <c r="L1" s="86">
        <v>43497</v>
      </c>
      <c r="M1" s="86">
        <v>43132</v>
      </c>
      <c r="N1" s="25">
        <v>42767</v>
      </c>
      <c r="O1" s="25">
        <v>42401</v>
      </c>
      <c r="P1" s="25">
        <v>42036</v>
      </c>
      <c r="Q1" s="25">
        <v>41671</v>
      </c>
      <c r="R1" s="25">
        <v>41306</v>
      </c>
      <c r="S1" s="25">
        <v>40940</v>
      </c>
      <c r="T1" s="25">
        <v>40575</v>
      </c>
      <c r="U1" s="25">
        <v>40210</v>
      </c>
      <c r="V1" s="26">
        <v>39845</v>
      </c>
    </row>
    <row r="2" spans="1:23" x14ac:dyDescent="0.25">
      <c r="A2" s="40" t="s">
        <v>20</v>
      </c>
      <c r="B2" s="47">
        <f t="shared" ref="B2:B32" si="0">IFERROR(((E2-F2)/F2),"")</f>
        <v>0</v>
      </c>
      <c r="C2" s="79">
        <v>-9000</v>
      </c>
      <c r="D2" s="38">
        <v>-9000</v>
      </c>
      <c r="E2" s="43">
        <f>Italy!E$2</f>
        <v>6000</v>
      </c>
      <c r="F2" s="38">
        <f>Italy!F$2</f>
        <v>6000</v>
      </c>
      <c r="G2" s="38">
        <f>Italy!G$2</f>
        <v>4500</v>
      </c>
      <c r="H2" s="38">
        <f>Italy!H$2</f>
        <v>5000</v>
      </c>
      <c r="I2" s="38">
        <f>Italy!I$2</f>
        <v>5000</v>
      </c>
      <c r="J2" s="38">
        <f>Italy!J$2</f>
        <v>5000</v>
      </c>
      <c r="K2" s="38">
        <f>Italy!K$2</f>
        <v>5000</v>
      </c>
      <c r="L2" s="38">
        <f>Italy!L$2</f>
        <v>5000</v>
      </c>
      <c r="M2" s="38">
        <f>Italy!M$2</f>
        <v>5000</v>
      </c>
      <c r="N2" s="38">
        <f>Italy!N$2</f>
        <v>5000</v>
      </c>
      <c r="O2" s="38">
        <f>Italy!O$2</f>
        <v>5000</v>
      </c>
      <c r="P2" s="38">
        <f>Italy!P$2</f>
        <v>5812</v>
      </c>
      <c r="Q2" s="38">
        <f>Italy!Q$2</f>
        <v>0</v>
      </c>
      <c r="R2" s="38">
        <f>Italy!R$2</f>
        <v>5015.6053348577543</v>
      </c>
      <c r="S2" s="38">
        <f>Italy!S$2</f>
        <v>4012.106581635539</v>
      </c>
      <c r="T2" s="38">
        <f>Italy!T$2</f>
        <v>5000</v>
      </c>
      <c r="U2" s="38">
        <f>Italy!U$2</f>
        <v>5000</v>
      </c>
      <c r="V2" s="68">
        <f>Italy!V$2</f>
        <v>7000</v>
      </c>
      <c r="W2" s="38"/>
    </row>
    <row r="3" spans="1:23" x14ac:dyDescent="0.25">
      <c r="A3" s="40" t="s">
        <v>4</v>
      </c>
      <c r="B3" s="47">
        <f t="shared" si="0"/>
        <v>1.6253029090916902</v>
      </c>
      <c r="C3" s="79">
        <v>-8110.9241572687934</v>
      </c>
      <c r="D3" s="38">
        <v>-6377.8445657751818</v>
      </c>
      <c r="E3" s="43">
        <f>Austria!E$3+Belgium!E$2+Denmark!E$2+France!E$4+Germany!E$2+Switzerland!E$2+Netherlands!E$2+Poland!E$2</f>
        <v>14228.659905212189</v>
      </c>
      <c r="F3" s="38">
        <f>Austria!F$3+Belgium!F$2+Denmark!F$2+France!F$4+Germany!F$2+Switzerland!F$2+Netherlands!F$2+Poland!F$2</f>
        <v>5419.8164546791522</v>
      </c>
      <c r="G3" s="38">
        <f>Austria!G$3+Belgium!G$2+Denmark!G$2+France!G$4+Germany!G$2+Switzerland!G$2+Netherlands!G$2+Poland!G$2</f>
        <v>7462</v>
      </c>
      <c r="H3" s="38">
        <f>Austria!H$3+Belgium!H$2+Denmark!H$2+France!H$4+Germany!H$2+Switzerland!H$2+Netherlands!H$2+Poland!H$2</f>
        <v>13086.135135135135</v>
      </c>
      <c r="I3" s="38">
        <f>Austria!I$3+Belgium!I$2+Denmark!I$2+France!I$4+Germany!I$2+Switzerland!I$2+Netherlands!I$2+Poland!I$2</f>
        <v>17618.405405405407</v>
      </c>
      <c r="J3" s="38">
        <f>Austria!J$3+Belgium!J$2+Denmark!J$2+France!J$4+Germany!J$2+Switzerland!J$2+Netherlands!J$2+Poland!J$2</f>
        <v>6473</v>
      </c>
      <c r="K3" s="38">
        <f>Austria!K$3+Belgium!K$2+Denmark!K$2+France!K$4+Germany!K$2+Switzerland!K$2+Netherlands!K$2+Poland!K$2</f>
        <v>7793</v>
      </c>
      <c r="L3" s="38">
        <f>Austria!L$3+Belgium!L$2+Denmark!L$2+France!L$4+Germany!L$2+Switzerland!L$2+Netherlands!L$2+Poland!L$2</f>
        <v>15722.531999999999</v>
      </c>
      <c r="M3" s="38">
        <f>Austria!M$3+Belgium!M$2+Denmark!M$2+France!M$4+Germany!M$2+Switzerland!M$2+Netherlands!M$2+Poland!M$2</f>
        <v>1449</v>
      </c>
      <c r="N3" s="38">
        <f>Austria!N$3+Belgium!N$2+Denmark!N$2+France!N$4+Germany!N$2+Switzerland!N$2+Netherlands!N$2+Poland!N$2</f>
        <v>13160</v>
      </c>
      <c r="O3" s="38">
        <f>Austria!O$3+Belgium!O$2+Denmark!O$2+France!O$4+Germany!O$2+Switzerland!O$2+Netherlands!O$2+Poland!O$2</f>
        <v>14929.07</v>
      </c>
      <c r="P3" s="38">
        <f>Austria!P$3+Belgium!P$2+Denmark!P$2+France!P$4+Germany!P$2+Switzerland!P$2+Netherlands!P$2+Poland!P$2</f>
        <v>19704</v>
      </c>
      <c r="Q3" s="38">
        <f>Austria!Q$3+Belgium!Q$2+Denmark!Q$2+France!Q$4+Germany!Q$2+Switzerland!Q$2+Netherlands!Q$2+Poland!Q$2</f>
        <v>10094.35</v>
      </c>
      <c r="R3" s="38">
        <f>Austria!R$3+Belgium!R$2+Denmark!R$2+France!R$4+Germany!R$2+Switzerland!R$2+Netherlands!R$2+Poland!R$2</f>
        <v>7128</v>
      </c>
      <c r="S3" s="38">
        <f>Austria!S$3+Belgium!S$2+Denmark!S$2+France!S$4+Germany!S$2+Switzerland!S$2+Netherlands!S$2+Poland!S$2</f>
        <v>11393</v>
      </c>
      <c r="T3" s="38">
        <f>Austria!T$3+Belgium!T$2+Denmark!T$2+France!T$4+Germany!T$2+Netherlands!T$2+Poland!T$2+Switzerland!T$2</f>
        <v>10319</v>
      </c>
      <c r="U3" s="38">
        <f>Austria!U$3+Belgium!U$2+Denmark!U$2+France!U$4+Germany!U$2+Switzerland!U$2+Netherlands!U$2+Poland!U$2</f>
        <v>14385</v>
      </c>
      <c r="V3" s="68">
        <f>Austria!V$3+Belgium!V$2+Denmark!V$2+Germany!V$2+Switzerland!V$2+Netherlands!V$2+Poland!V$2</f>
        <v>20435</v>
      </c>
      <c r="W3" s="3"/>
    </row>
    <row r="4" spans="1:23" x14ac:dyDescent="0.25">
      <c r="A4" s="40" t="s">
        <v>11</v>
      </c>
      <c r="B4" s="47">
        <f t="shared" si="0"/>
        <v>0.19024971667747057</v>
      </c>
      <c r="C4" s="79">
        <v>-17819.848933578454</v>
      </c>
      <c r="D4" s="38">
        <v>-16184.010794296395</v>
      </c>
      <c r="E4" s="43">
        <f>Austria!E$4+France!E$5+Germany!E$3+Italy!E$3+Switzerland!E$3+UK!E$2+'Czech Republic'!E2</f>
        <v>104302.26239462366</v>
      </c>
      <c r="F4" s="38">
        <f>Austria!F$4+France!F$5+Germany!F$3+Italy!F$3+Switzerland!F$3+UK!F$2+'Czech Republic'!F2</f>
        <v>87630.571075268817</v>
      </c>
      <c r="G4" s="38">
        <f>Austria!G$4+France!G$5+Germany!G$3+Italy!G$3+Switzerland!G$3+UK!G$2+'Czech Republic'!G2</f>
        <v>88842.923365591399</v>
      </c>
      <c r="H4" s="38">
        <f>Austria!H$4+France!H$5+Germany!H$3+Italy!H$3+Switzerland!H$3+UK!H$2+'Czech Republic'!H2</f>
        <v>105454.99738448125</v>
      </c>
      <c r="I4" s="38">
        <f>Austria!I$4+France!I$5+Germany!I$3+Italy!I$3+Switzerland!I$3+UK!I$2+'Czech Republic'!I2</f>
        <v>108790.59517582098</v>
      </c>
      <c r="J4" s="38">
        <f>Austria!J$4+France!J$5+Germany!J$3+Italy!J$3+Switzerland!J$3+UK!J$2+'Czech Republic'!J2</f>
        <v>104640.05</v>
      </c>
      <c r="K4" s="38">
        <f>Austria!K$4+France!K$5+Germany!K$3+Italy!K$3+Switzerland!K$3+UK!K$2+'Czech Republic'!K2</f>
        <v>120681</v>
      </c>
      <c r="L4" s="38">
        <f>Austria!L$4+France!L$5+Germany!L$3+Italy!L$3+Switzerland!L$3+UK!L$2+'Czech Republic'!L2</f>
        <v>134757.4</v>
      </c>
      <c r="M4" s="38">
        <f>Austria!M$4+France!M$5+Germany!M$3+Italy!M$3+Switzerland!M$3+UK!M$2+'Czech Republic'!M2</f>
        <v>81183</v>
      </c>
      <c r="N4" s="38">
        <f>Austria!N$4+France!N$5+Germany!N$3+Italy!N$3+Switzerland!N$3+UK!N$2+'Czech Republic'!N2</f>
        <v>124737.85999999999</v>
      </c>
      <c r="O4" s="38">
        <f>Austria!O$4+France!O$5+Germany!O$3+Italy!O$3+Switzerland!O$3+UK!O$2+'Czech Republic'!O2</f>
        <v>143705.67000000001</v>
      </c>
      <c r="P4" s="38">
        <f>Austria!P$4+France!P$5+Germany!P$3+Italy!P$3+Switzerland!P$3+UK!P$2+'Czech Republic'!P2</f>
        <v>128530</v>
      </c>
      <c r="Q4" s="38">
        <f>Austria!Q$4+France!Q$5+Germany!Q$3+Italy!Q$3+Switzerland!Q$3+UK!Q$2+'Czech Republic'!Q2</f>
        <v>136947.91999999998</v>
      </c>
      <c r="R4" s="38">
        <f>Austria!R$4+France!R$5+Germany!R$3+Italy!R$3+Switzerland!R$3+UK!R$2+'Czech Republic'!R2</f>
        <v>99829.118439189915</v>
      </c>
      <c r="S4" s="38">
        <f>Austria!S$4+France!S$5+Germany!S$3+Italy!S$3+Switzerland!S$3+UK!S$2+'Czech Republic'!S2</f>
        <v>144643.73308573067</v>
      </c>
      <c r="T4" s="38">
        <f>Austria!T$4+France!T$5+Germany!T$3+Italy!T$3+Switzerland!T$3+UK!T$2+'Czech Republic'!T2</f>
        <v>130993</v>
      </c>
      <c r="U4" s="38">
        <f>Austria!U$4+France!U$5+Germany!U$3+Italy!U$3+Switzerland!U$3+UK!U$2+'Czech Republic'!U2</f>
        <v>154620</v>
      </c>
      <c r="V4" s="68">
        <f>Austria!V$4+France!V$5+Germany!V$3+Italy!V$3+Switzerland!V$3+UK!V$2+'Czech Republic'!V2</f>
        <v>83602</v>
      </c>
    </row>
    <row r="5" spans="1:23" x14ac:dyDescent="0.25">
      <c r="A5" s="40" t="s">
        <v>35</v>
      </c>
      <c r="B5" s="47">
        <f t="shared" si="0"/>
        <v>-0.162328995662329</v>
      </c>
      <c r="C5" s="79">
        <v>-670</v>
      </c>
      <c r="D5" s="38">
        <v>-904</v>
      </c>
      <c r="E5" s="43">
        <f>UK!E$3</f>
        <v>5021</v>
      </c>
      <c r="F5" s="38">
        <f>UK!F$3</f>
        <v>5994</v>
      </c>
      <c r="G5" s="38">
        <f>UK!G$3</f>
        <v>3065</v>
      </c>
      <c r="H5" s="38">
        <f>UK!H$3</f>
        <v>7143</v>
      </c>
      <c r="I5" s="38">
        <f>UK!I$3</f>
        <v>15642</v>
      </c>
      <c r="J5" s="38">
        <f>UK!J$3</f>
        <v>21859</v>
      </c>
      <c r="K5" s="38">
        <f>UK!K$3</f>
        <v>21385</v>
      </c>
      <c r="L5" s="38">
        <f>UK!L$3</f>
        <v>28905</v>
      </c>
      <c r="M5" s="38">
        <f>UK!M$3</f>
        <v>28000</v>
      </c>
      <c r="N5" s="38">
        <f>UK!N$3</f>
        <v>29000</v>
      </c>
      <c r="O5" s="38">
        <f>UK!O$3</f>
        <v>29500</v>
      </c>
      <c r="P5" s="38">
        <f>UK!P$3</f>
        <v>45000</v>
      </c>
      <c r="Q5" s="38">
        <f>UK!Q$3</f>
        <v>42000</v>
      </c>
      <c r="R5" s="38">
        <f>UK!R$3</f>
        <v>19000</v>
      </c>
      <c r="S5" s="38">
        <f>UK!S$3</f>
        <v>43000</v>
      </c>
      <c r="T5" s="38">
        <f>UK!T$3</f>
        <v>53000</v>
      </c>
      <c r="U5" s="38">
        <f>UK!U$3</f>
        <v>44000</v>
      </c>
      <c r="V5" s="68">
        <f>UK!V$3</f>
        <v>41000</v>
      </c>
    </row>
    <row r="6" spans="1:23" x14ac:dyDescent="0.25">
      <c r="A6" s="40" t="s">
        <v>28</v>
      </c>
      <c r="B6" s="47">
        <f t="shared" si="0"/>
        <v>0.12216216216216216</v>
      </c>
      <c r="C6" s="79">
        <v>-947</v>
      </c>
      <c r="D6" s="38">
        <v>-606</v>
      </c>
      <c r="E6" s="43">
        <f>France!E6+UK!E4</f>
        <v>5190</v>
      </c>
      <c r="F6" s="38">
        <f>France!F6+UK!F4</f>
        <v>4625</v>
      </c>
      <c r="G6" s="38">
        <f>France!G6+UK!G4</f>
        <v>1842</v>
      </c>
      <c r="H6" s="38">
        <f>France!H6+UK!H4</f>
        <v>4545</v>
      </c>
      <c r="I6" s="38">
        <f>France!I6+UK!I4</f>
        <v>3583</v>
      </c>
      <c r="J6" s="38">
        <f>France!J6+UK!J4</f>
        <v>4213</v>
      </c>
      <c r="K6" s="38">
        <f>France!K6+UK!K4</f>
        <v>2512</v>
      </c>
      <c r="L6" s="38">
        <f>France!L6+UK!L4</f>
        <v>2256</v>
      </c>
      <c r="M6" s="38">
        <f>France!M6+UK!M4</f>
        <v>956</v>
      </c>
      <c r="N6" s="38">
        <f>France!N6+UK!N4</f>
        <v>0</v>
      </c>
      <c r="O6" s="38">
        <f>France!O6+UK!O4</f>
        <v>1900</v>
      </c>
      <c r="P6" s="38">
        <f>France!P6+UK!P4</f>
        <v>1000</v>
      </c>
      <c r="Q6" s="38">
        <f>France!Q6+UK!Q4</f>
        <v>1100</v>
      </c>
      <c r="R6" s="38">
        <f>France!R6+UK!R4</f>
        <v>0</v>
      </c>
      <c r="S6" s="38">
        <f>France!S6+UK!S4</f>
        <v>727</v>
      </c>
      <c r="T6" s="38">
        <f>France!T6+UK!T4</f>
        <v>2023</v>
      </c>
      <c r="U6" s="38">
        <f>France!U6+UK!U4</f>
        <v>2642</v>
      </c>
      <c r="V6" s="68">
        <f>UK!V4</f>
        <v>700</v>
      </c>
    </row>
    <row r="7" spans="1:23" x14ac:dyDescent="0.25">
      <c r="A7" s="40" t="s">
        <v>32</v>
      </c>
      <c r="B7" s="47" t="str">
        <f t="shared" si="0"/>
        <v/>
      </c>
      <c r="C7" s="79">
        <v>0</v>
      </c>
      <c r="D7" s="38">
        <v>0</v>
      </c>
      <c r="E7" s="43">
        <f>Poland!E$3</f>
        <v>0</v>
      </c>
      <c r="F7" s="38">
        <f>Poland!F$3</f>
        <v>0</v>
      </c>
      <c r="G7" s="38">
        <f>Poland!G$3</f>
        <v>0</v>
      </c>
      <c r="H7" s="38">
        <f>Poland!H$3</f>
        <v>0</v>
      </c>
      <c r="I7" s="38">
        <f>Poland!I$3</f>
        <v>0</v>
      </c>
      <c r="J7" s="38">
        <f>Poland!J$3</f>
        <v>0</v>
      </c>
      <c r="K7" s="38">
        <f>Poland!K$3</f>
        <v>0</v>
      </c>
      <c r="L7" s="38">
        <f>Poland!L$3</f>
        <v>0</v>
      </c>
      <c r="M7" s="38">
        <f>Poland!M$3</f>
        <v>0</v>
      </c>
      <c r="N7" s="38">
        <f>Poland!N$3</f>
        <v>0</v>
      </c>
      <c r="O7" s="38">
        <f>Poland!O$3</f>
        <v>0</v>
      </c>
      <c r="P7" s="38">
        <f>Poland!P$3</f>
        <v>0</v>
      </c>
      <c r="Q7" s="38">
        <f>Poland!Q$3</f>
        <v>500</v>
      </c>
      <c r="R7" s="38">
        <f>Poland!R$3</f>
        <v>2000</v>
      </c>
      <c r="S7" s="38">
        <f>Poland!S$3</f>
        <v>2000</v>
      </c>
      <c r="T7" s="38">
        <f>Poland!T$3</f>
        <v>12000</v>
      </c>
      <c r="U7" s="38">
        <f>Poland!U$3</f>
        <v>15000</v>
      </c>
      <c r="V7" s="68">
        <f>Poland!V$3</f>
        <v>10000</v>
      </c>
    </row>
    <row r="8" spans="1:23" x14ac:dyDescent="0.25">
      <c r="A8" s="40" t="s">
        <v>5</v>
      </c>
      <c r="B8" s="47">
        <f t="shared" si="0"/>
        <v>6.624365482233503</v>
      </c>
      <c r="C8" s="79">
        <v>-880</v>
      </c>
      <c r="D8" s="38">
        <v>-634</v>
      </c>
      <c r="E8" s="43">
        <f>Belgium!E$3+Denmark!E$4+Germany!E$4+Switzerland!E$4+UK!E$5</f>
        <v>1502</v>
      </c>
      <c r="F8" s="38">
        <f>Belgium!F$3+Denmark!F$4+Germany!F$4+Switzerland!F$4+UK!F$5</f>
        <v>197</v>
      </c>
      <c r="G8" s="38">
        <f>Belgium!G$3+Denmark!G$4+Germany!G$4+Switzerland!G$4+UK!G$5</f>
        <v>0</v>
      </c>
      <c r="H8" s="38">
        <f>Belgium!H$3+Denmark!H$4+Germany!H$4+Switzerland!H$4+UK!H$5</f>
        <v>2108</v>
      </c>
      <c r="I8" s="38">
        <f>Belgium!I$3+Denmark!I$4+Germany!I$4+Switzerland!I$4+UK!I$5</f>
        <v>1018</v>
      </c>
      <c r="J8" s="38">
        <f>Belgium!J$3+Denmark!J$4+Germany!J$4+Switzerland!J$4+UK!J$5</f>
        <v>1682</v>
      </c>
      <c r="K8" s="38">
        <f>Belgium!K$3+Denmark!K$4+Germany!K$4+Switzerland!K$4+UK!K$5</f>
        <v>2817</v>
      </c>
      <c r="L8" s="38">
        <f>Belgium!L$3+Denmark!L$4+Germany!L$4+Switzerland!L$4+UK!L$5</f>
        <v>4260</v>
      </c>
      <c r="M8" s="38">
        <f>Belgium!M$3+Denmark!M$4+Germany!M$4+Switzerland!M$4+UK!M$5</f>
        <v>2051</v>
      </c>
      <c r="N8" s="38">
        <f>Belgium!N$3+Denmark!N$4+Germany!N$4+Switzerland!N$4+UK!N$5</f>
        <v>5460</v>
      </c>
      <c r="O8" s="38">
        <f>Belgium!O$3+Denmark!O$4+Germany!O$4+Switzerland!O$4+UK!O$5</f>
        <v>9100</v>
      </c>
      <c r="P8" s="38">
        <f>Belgium!P$3+Denmark!P$4+Germany!P$4+Switzerland!P$4+UK!P$5</f>
        <v>4665</v>
      </c>
      <c r="Q8" s="38">
        <f>Belgium!Q$3+Denmark!Q$4+Germany!Q$4+Switzerland!Q$4+UK!Q$5</f>
        <v>10928</v>
      </c>
      <c r="R8" s="38">
        <f>Belgium!R$3+Denmark!R$4+Germany!R$4+Switzerland!R$4+UK!R$5</f>
        <v>4512</v>
      </c>
      <c r="S8" s="38">
        <f>Belgium!S$3+Denmark!S$4+Germany!S$4+Switzerland!S$4+UK!S$5</f>
        <v>9258</v>
      </c>
      <c r="T8" s="38">
        <f>Belgium!T$3+Denmark!T$4+Germany!T$4+Switzerland!T$4+UK!T$5</f>
        <v>12114</v>
      </c>
      <c r="U8" s="38">
        <f>Belgium!U$3+Denmark!U$4+Germany!U$4+Switzerland!U$4+UK!U$5</f>
        <v>14244</v>
      </c>
      <c r="V8" s="68">
        <f>Belgium!V$3+Denmark!V$4+Germany!V$4+Switzerland!V$4+UK!V$5</f>
        <v>9811</v>
      </c>
    </row>
    <row r="9" spans="1:23" x14ac:dyDescent="0.25">
      <c r="A9" s="40" t="s">
        <v>60</v>
      </c>
      <c r="B9" s="47">
        <f t="shared" si="0"/>
        <v>0.2089004025347391</v>
      </c>
      <c r="C9" s="79">
        <v>-44525.670100000018</v>
      </c>
      <c r="D9" s="38">
        <v>-43123.948000000004</v>
      </c>
      <c r="E9" s="43">
        <f>France!E$8+Italy!E$4</f>
        <v>252408.3327</v>
      </c>
      <c r="F9" s="38">
        <f>France!F$8+Italy!F$4</f>
        <v>208791.66899999999</v>
      </c>
      <c r="G9" s="38">
        <f>France!G$8+Italy!G$4</f>
        <v>200926.8</v>
      </c>
      <c r="H9" s="38">
        <f>France!H$8+Italy!H$4</f>
        <v>172640</v>
      </c>
      <c r="I9" s="38">
        <f>France!I$8+Italy!I$4</f>
        <v>127154</v>
      </c>
      <c r="J9" s="38">
        <f>France!J$8+Italy!J$4</f>
        <v>153692.5</v>
      </c>
      <c r="K9" s="38">
        <f>France!K$8+Italy!K$4</f>
        <v>135853</v>
      </c>
      <c r="L9" s="38">
        <f>France!L$8+Italy!L$4</f>
        <v>148552</v>
      </c>
      <c r="M9" s="38">
        <f>France!M$8+Italy!M$4</f>
        <v>123171</v>
      </c>
      <c r="N9" s="38">
        <f>France!N$8+Italy!N$4</f>
        <v>139319.4</v>
      </c>
      <c r="O9" s="38">
        <f>France!O$8+Italy!O$4</f>
        <v>122617.60000000001</v>
      </c>
      <c r="P9" s="38">
        <f>France!P$8+Italy!P$4</f>
        <v>130930</v>
      </c>
      <c r="Q9" s="38">
        <f>France!Q$8+Italy!Q$4</f>
        <v>98723</v>
      </c>
      <c r="R9" s="38">
        <f>France!R$8+Italy!R$4</f>
        <v>75651.516981462613</v>
      </c>
      <c r="S9" s="38">
        <f>France!S$8+Italy!S$4</f>
        <v>104698.8928671066</v>
      </c>
      <c r="T9" s="38">
        <f>Italy!T$4+France!T$8</f>
        <v>79815</v>
      </c>
      <c r="U9" s="38"/>
      <c r="V9" s="68"/>
    </row>
    <row r="10" spans="1:23" x14ac:dyDescent="0.25">
      <c r="A10" s="40" t="s">
        <v>2</v>
      </c>
      <c r="B10" s="47">
        <f t="shared" si="0"/>
        <v>0.40121548044217409</v>
      </c>
      <c r="C10" s="79">
        <v>-25546.43231997866</v>
      </c>
      <c r="D10" s="38">
        <v>-23580.515811920573</v>
      </c>
      <c r="E10" s="43">
        <f>Austria!E$5+Belgium!E$4+Denmark!E$5+France!E$9+Germany!E$5+Italy!E$5+Switzerland!E$5+Netherlands!E$3+Poland!E$4</f>
        <v>120455.13687247047</v>
      </c>
      <c r="F10" s="38">
        <f>Austria!F$5+Belgium!F$4+Denmark!F$5+France!F$9+Germany!F$5+Italy!F$5+Switzerland!F$5+Netherlands!F$3+Poland!F$4</f>
        <v>85964.748858226347</v>
      </c>
      <c r="G10" s="38">
        <f>Austria!G$5+Belgium!G$4+Denmark!G$5+France!G$9+Germany!G$5+Italy!G$5+Switzerland!G$5+Netherlands!G$3+Poland!G$4</f>
        <v>72904</v>
      </c>
      <c r="H10" s="38">
        <f>Austria!H$5+Belgium!H$4+Denmark!H$5+France!H$9+Germany!H$5+Italy!H$5+Switzerland!H$5+Netherlands!H$3+Poland!H$4</f>
        <v>116572.83783783784</v>
      </c>
      <c r="I10" s="38">
        <f>Austria!I$5+Belgium!I$4+Denmark!I$5+France!I$9+Germany!I$5+Italy!I$5+Switzerland!I$5+Netherlands!I$3+Poland!I$4</f>
        <v>99585.864864864867</v>
      </c>
      <c r="J10" s="38">
        <f>Austria!J$5+Belgium!J$4+Denmark!J$5+France!J$9+Germany!J$5+Italy!J$5+Switzerland!J$5+Netherlands!J$3+Poland!J$4</f>
        <v>78409.100000000006</v>
      </c>
      <c r="K10" s="38">
        <f>Austria!K$5+Belgium!K$4+Denmark!K$5+France!K$9+Germany!K$5+Italy!K$5+Switzerland!K$5+Netherlands!K$3+Poland!K$4</f>
        <v>107443</v>
      </c>
      <c r="L10" s="38">
        <f>Austria!L$5+Belgium!L$4+Denmark!L$5+France!L$9+Germany!L$5+Italy!L$5+Switzerland!L$5+Netherlands!L$3+Poland!L$4</f>
        <v>94876.888000000006</v>
      </c>
      <c r="M10" s="38">
        <f>Austria!M$5+Belgium!M$4+Denmark!M$5+France!M$9+Germany!M$5+Italy!M$5+Switzerland!M$5+Netherlands!M$3+Poland!M$4</f>
        <v>62932</v>
      </c>
      <c r="N10" s="38">
        <f>Austria!N$5+Belgium!N$4+Denmark!N$5+France!N$9+Germany!N$5+Italy!N$5+Switzerland!N$5+Netherlands!N$3+Poland!N$4</f>
        <v>101214.48999999999</v>
      </c>
      <c r="O10" s="38">
        <f>Austria!O$5+Belgium!O$4+Denmark!O$5+France!O$9+Germany!O$5+Italy!O$5+Switzerland!O$5+Netherlands!O$3+Poland!O$4</f>
        <v>113263.91</v>
      </c>
      <c r="P10" s="38">
        <f>Austria!P$5+Belgium!P$4+Denmark!P$5+France!P$9+Germany!P$5+Italy!P$5+Switzerland!P$5+Netherlands!P$3+Poland!P$4</f>
        <v>123357</v>
      </c>
      <c r="Q10" s="38">
        <f>Austria!Q$5+Belgium!Q$4+Denmark!Q$5+France!Q$9+Germany!Q$5+Italy!Q$5+Switzerland!Q$5+Netherlands!Q$3+Poland!Q$4</f>
        <v>93237.03</v>
      </c>
      <c r="R10" s="38">
        <f>Austria!R$5+Belgium!R$4+Denmark!R$5+France!R$9+Germany!R$5+Italy!R$5+Switzerland!R$5+Netherlands!R$3+Poland!R$4</f>
        <v>86698</v>
      </c>
      <c r="S10" s="38">
        <f>Austria!S$5+Belgium!S$4+Denmark!S$5+France!S$9+Germany!S$5+Italy!S$5+Switzerland!S$5+Netherlands!S$3+Poland!S$4</f>
        <v>121577.05447961736</v>
      </c>
      <c r="T10" s="38">
        <f>Austria!T$5+Belgium!T$4+Denmark!T$5+France!T$9+Germany!T$5+Italy!T$5+Switzerland!T$5+Netherlands!T$3+Poland!T$4</f>
        <v>89971</v>
      </c>
      <c r="U10" s="38">
        <f>Austria!U$5+Belgium!U$4+Denmark!U$5+France!U$9+Germany!U$5+Italy!U$5+Switzerland!U$5+Netherlands!U$3+Poland!U$4</f>
        <v>151320</v>
      </c>
      <c r="V10" s="68">
        <f>Austria!V$5+Belgium!V$4+Denmark!V$5+Germany!V$5+Italy!V$5+Switzerland!V$5+Netherlands!V$3+Poland!V$4</f>
        <v>110505</v>
      </c>
    </row>
    <row r="11" spans="1:23" x14ac:dyDescent="0.25">
      <c r="A11" s="40" t="s">
        <v>12</v>
      </c>
      <c r="B11" s="47">
        <f t="shared" si="0"/>
        <v>0.13844022779615175</v>
      </c>
      <c r="C11" s="79">
        <v>-26904.147907978419</v>
      </c>
      <c r="D11" s="38">
        <v>-27081.915462272475</v>
      </c>
      <c r="E11" s="43">
        <f>Austria!E$7+Denmark!E$6+France!E$10+Germany!E$6+Italy!E$6+Spain!E$2</f>
        <v>123002.74937557036</v>
      </c>
      <c r="F11" s="38">
        <f>Austria!F$7+Denmark!F$6+France!F$10+Germany!F$6+Italy!F$6+Spain!F$2</f>
        <v>108044.97800792326</v>
      </c>
      <c r="G11" s="38">
        <f>Austria!G$7+Denmark!G$6+France!G$10+Germany!G$6+Italy!G$6+Spain!G$2</f>
        <v>102935.5312146662</v>
      </c>
      <c r="H11" s="38">
        <f>Austria!H$7+Denmark!H$6+France!H$10+Germany!H$6+Italy!H$6+Spain!H$2</f>
        <v>109250.8075893029</v>
      </c>
      <c r="I11" s="38">
        <f>Austria!I$7+Denmark!I$6+France!I$10+Germany!I$6+Italy!I$6+Spain!I$2</f>
        <v>128214.45815507566</v>
      </c>
      <c r="J11" s="38">
        <f>Austria!J$7+Denmark!J$6+France!J$10+Germany!J$6+Italy!J$6+Spain!J$2</f>
        <v>129283.50151161868</v>
      </c>
      <c r="K11" s="38">
        <f>Austria!K$7+Denmark!K$6+France!K$10+Germany!K$6+Italy!K$6+Spain!K$2</f>
        <v>129550.46636920236</v>
      </c>
      <c r="L11" s="38">
        <f>Austria!L$7+Denmark!L$6+France!L$10+Germany!L$6+Italy!L$6+Spain!L$2</f>
        <v>137043.08000000002</v>
      </c>
      <c r="M11" s="38">
        <f>Austria!M$7+Denmark!M$6+France!M$10+Germany!M$6+Italy!M$6+Spain!M$2</f>
        <v>106041</v>
      </c>
      <c r="N11" s="38">
        <f>Austria!N$7+Denmark!N$6+France!N$10+Germany!N$6+Italy!N$6+Spain!N$2</f>
        <v>130007.38050450082</v>
      </c>
      <c r="O11" s="38">
        <f>Austria!O$7+Denmark!O$6+France!O$10+Germany!O$6+Italy!O$6+Spain!O$2</f>
        <v>152440.30650481879</v>
      </c>
      <c r="P11" s="38">
        <f>Austria!P$7+Denmark!P$6+France!P$10+Germany!P$6+Italy!P$6+Spain!P$2</f>
        <v>139018</v>
      </c>
      <c r="Q11" s="38">
        <f>Austria!Q$7+Denmark!Q$6+France!Q$10+Germany!Q$6+Italy!Q$6+Spain!Q$2</f>
        <v>144178.90006741683</v>
      </c>
      <c r="R11" s="38">
        <f>Austria!R$7+Denmark!R$6+France!R$10+Germany!R$6+Italy!R$6+Spain!R$2</f>
        <v>85263.017352620329</v>
      </c>
      <c r="S11" s="38">
        <f>Austria!S$7+Denmark!S$6+France!S$10+Germany!S$6+Italy!S$6+Spain!S$2</f>
        <v>124273.259465454</v>
      </c>
      <c r="T11" s="38">
        <f>Austria!T$7+Denmark!T$6+France!T$10+Germany!T$6+Italy!T$6+Spain!T$2</f>
        <v>128268</v>
      </c>
      <c r="U11" s="38">
        <f>Austria!U$7+Denmark!U$6+France!U$10+Germany!U$6+Italy!U$6+Spain!U$2</f>
        <v>117727</v>
      </c>
      <c r="V11" s="68">
        <f>Austria!V$7+Denmark!V$6+Germany!V$6+Italy!V$6+Spain!V$2</f>
        <v>89293</v>
      </c>
    </row>
    <row r="12" spans="1:23" x14ac:dyDescent="0.25">
      <c r="A12" s="40" t="s">
        <v>9</v>
      </c>
      <c r="B12" s="47">
        <f t="shared" si="0"/>
        <v>0.22346022680846808</v>
      </c>
      <c r="C12" s="79">
        <v>-116601.08454257442</v>
      </c>
      <c r="D12" s="38">
        <v>-120653.51439358541</v>
      </c>
      <c r="E12" s="43">
        <f>Austria!E$8+'Czech Republic'!E$3+Denmark!E$7+France!E$11+Germany!E$7+Italy!E$7+Spain!E$3+Switzerland!E$6+UK!E$6+Poland!E$5</f>
        <v>293561.81407211418</v>
      </c>
      <c r="F12" s="38">
        <f>Austria!F$8+'Czech Republic'!F$3+Denmark!F$7+France!F$11+Germany!F$7+Italy!F$7+Spain!F$3+Switzerland!F$6+UK!F$6+Poland!F$5</f>
        <v>239943.89653180863</v>
      </c>
      <c r="G12" s="38">
        <f>Austria!G$8+'Czech Republic'!G$3+Denmark!G$7+France!G$11+Germany!G$7+Italy!G$7+Spain!G$3+Switzerland!G$6+UK!G$6+Poland!G$5</f>
        <v>291958.33828511339</v>
      </c>
      <c r="H12" s="38">
        <f>Austria!H$8+'Czech Republic'!H$3+Denmark!H$7+France!H$11+Germany!H$7+Italy!H$7+Spain!H$3+Switzerland!H$6+UK!H$6+Poland!H$5</f>
        <v>317065.6039975083</v>
      </c>
      <c r="I12" s="38">
        <f>Austria!I$8+'Czech Republic'!I$3+Denmark!I$7+France!I$11+Germany!I$7+Italy!I$7+Spain!I$3+Switzerland!I$6+UK!I$6+Poland!I$5</f>
        <v>389041.48332405475</v>
      </c>
      <c r="J12" s="38">
        <f>Austria!J$8+'Czech Republic'!J$3+Denmark!J$7+France!J$11+Germany!J$7+Italy!J$7+Spain!J$3+Switzerland!J$6+UK!J$6+Poland!J$5</f>
        <v>324487.4958019295</v>
      </c>
      <c r="K12" s="38">
        <f>Austria!K$8+'Czech Republic'!K$3+Denmark!K$7+France!K$11+Germany!K$7+Italy!K$7+Spain!K$3+Switzerland!K$6+UK!K$6+Poland!K$5</f>
        <v>311511.41429390054</v>
      </c>
      <c r="L12" s="38">
        <f>Austria!L$8+'Czech Republic'!L$3+Denmark!L$7+France!L$11+Germany!L$7+Italy!L$7+Spain!L$3+Switzerland!L$6+UK!L$6+Poland!L$5</f>
        <v>315211.79000000004</v>
      </c>
      <c r="M12" s="38">
        <f>Austria!M$8+'Czech Republic'!M$3+Denmark!M$7+France!M$11+Germany!M$7+Italy!M$7+Spain!M$3+Switzerland!M$6+UK!M$6+Poland!M$5</f>
        <v>187168</v>
      </c>
      <c r="N12" s="38">
        <f>Austria!N$8+'Czech Republic'!N$3+Denmark!N$7+France!N$11+Germany!N$7+Italy!N$7+Spain!N$3+Switzerland!N$6+UK!N$6+Poland!N$5</f>
        <v>193498.49594032444</v>
      </c>
      <c r="O12" s="38">
        <f>Austria!O$8+'Czech Republic'!O$3+Denmark!O$7+France!O$11+Germany!O$7+Italy!O$7+Spain!O$3+Switzerland!O$6+UK!O$6+Poland!O$5</f>
        <v>209627.15861559927</v>
      </c>
      <c r="P12" s="38">
        <f>Austria!P$8+'Czech Republic'!P$3+Denmark!P$7+France!P$11+Germany!P$7+Italy!P$7+Spain!P$3+Switzerland!P$6+UK!P$6+Poland!P$5</f>
        <v>194439</v>
      </c>
      <c r="Q12" s="38">
        <f>Austria!Q$8+'Czech Republic'!Q$3+Denmark!Q$7+France!Q$11+Germany!Q$7+Italy!Q$7+Spain!Q$3+Switzerland!Q$6+UK!Q$6+Poland!Q$5</f>
        <v>217745.1728476515</v>
      </c>
      <c r="R12" s="38">
        <f>Austria!R$8+'Czech Republic'!R$3+Denmark!R$7+France!R$11+Germany!R$7+Italy!R$7+Spain!R$3+Switzerland!R$6+UK!R$6+Poland!R$5</f>
        <v>144209.90134499065</v>
      </c>
      <c r="S12" s="38">
        <f>Austria!S$8+'Czech Republic'!S$3+Denmark!S$7+France!S$11+Germany!S$7+Italy!S$7+Spain!S$3+Switzerland!S$6+UK!S$6+Poland!S$5</f>
        <v>193581.22640459047</v>
      </c>
      <c r="T12" s="38">
        <f>Austria!T$8+'Czech Republic'!T$3+Denmark!T$7+France!T$11+Germany!T$7+Italy!T$7+Spain!T$3+Switzerland!T$6+UK!T$6+Poland!T$5</f>
        <v>204624</v>
      </c>
      <c r="U12" s="38">
        <f>Austria!U$8+'Czech Republic'!U$3+Denmark!U$7+France!U$11+Germany!U$7+Italy!U$7+Spain!U$3+Switzerland!U$6+UK!U$6+Poland!U$5</f>
        <v>193185</v>
      </c>
      <c r="V12" s="68">
        <f>Austria!V$8+'Czech Republic'!V$3+Denmark!V$7+Germany!V$7+Italy!V$7+Spain!V$3+Switzerland!V$6+UK!V$6+Poland!V$5</f>
        <v>139012</v>
      </c>
    </row>
    <row r="13" spans="1:23" x14ac:dyDescent="0.25">
      <c r="A13" s="40" t="s">
        <v>14</v>
      </c>
      <c r="B13" s="47">
        <f t="shared" si="0"/>
        <v>4.3462063827145162E-4</v>
      </c>
      <c r="C13" s="79">
        <v>-4009</v>
      </c>
      <c r="D13" s="38">
        <v>-2003</v>
      </c>
      <c r="E13" s="43">
        <f>Austria!E$9+Belgium!E$5+'Czech Republic'!E$4+Denmark!E$8+Germany!E$8+Italy!E$8+Poland!E$6</f>
        <v>16113</v>
      </c>
      <c r="F13" s="38">
        <f>Austria!F$9+Belgium!F$5+'Czech Republic'!F$4+Denmark!F$8+Germany!F$8+Italy!F$8+Poland!F$6</f>
        <v>16106</v>
      </c>
      <c r="G13" s="38">
        <f>Austria!G$9+Belgium!G$5+'Czech Republic'!G$4+Denmark!G$8+Germany!G$8+Italy!G$8+Poland!G$6</f>
        <v>17032</v>
      </c>
      <c r="H13" s="38">
        <f>Austria!H$9+Belgium!H$5+'Czech Republic'!H$4+Denmark!H$8+Germany!H$8+Italy!H$8+Poland!H$6</f>
        <v>20232</v>
      </c>
      <c r="I13" s="38">
        <f>Austria!I$9+Belgium!I$5+'Czech Republic'!I$4+Denmark!I$8+Germany!I$8+Italy!I$8+Poland!I$6</f>
        <v>40371</v>
      </c>
      <c r="J13" s="38">
        <f>Austria!J$9+Belgium!J$5+'Czech Republic'!J$4+Denmark!J$8+Germany!J$8+Italy!J$8+Poland!J$6</f>
        <v>65500</v>
      </c>
      <c r="K13" s="38">
        <f>Austria!K$9+Belgium!K$5+'Czech Republic'!K$4+Denmark!K$8+Germany!K$8+Italy!K$8+Poland!K$6</f>
        <v>65252</v>
      </c>
      <c r="L13" s="38">
        <f>Austria!L$9+Belgium!L$5+'Czech Republic'!L$4+Denmark!L$8+Germany!L$8+Italy!L$8+Poland!L$6</f>
        <v>81702</v>
      </c>
      <c r="M13" s="38">
        <f>Austria!M$9+Belgium!M$5+'Czech Republic'!M$4+Denmark!M$8+Germany!M$8+Italy!M$8+Poland!M$6</f>
        <v>80528</v>
      </c>
      <c r="N13" s="38">
        <f>Austria!N$9+Belgium!N$5+'Czech Republic'!N$4+Denmark!N$8+Germany!N$8+Italy!N$8+Poland!N$6</f>
        <v>80961</v>
      </c>
      <c r="O13" s="38">
        <f>Austria!O$9+Belgium!O$5+'Czech Republic'!O$4+Denmark!O$8+Germany!O$8+Italy!O$8+Poland!O$6</f>
        <v>81847</v>
      </c>
      <c r="P13" s="38">
        <f>Austria!P$9+Belgium!P$5+'Czech Republic'!P$4+Denmark!P$8+Germany!P$8+Italy!P$8+Poland!P$6</f>
        <v>73667</v>
      </c>
      <c r="Q13" s="38">
        <f>Austria!Q$9+Belgium!Q$5+'Czech Republic'!Q$4+Denmark!Q$8+Germany!Q$8+Italy!Q$8+Poland!Q$6</f>
        <v>82770</v>
      </c>
      <c r="R13" s="38">
        <f>Austria!R$9+Belgium!R$5+'Czech Republic'!R$4+Denmark!R$8+Germany!R$8+Italy!R$8+Poland!R$6</f>
        <v>85999.040573870632</v>
      </c>
      <c r="S13" s="38">
        <f>Austria!S$9+Belgium!S$5+'Czech Republic'!S$4+Denmark!S$8+Germany!S$8+Italy!S$8+Poland!S$6</f>
        <v>81144.102905943902</v>
      </c>
      <c r="T13" s="38">
        <f>Austria!T$9+Belgium!T$5+'Czech Republic'!T$4+Denmark!T$8+Germany!T$8+Italy!T$8+Poland!T$6</f>
        <v>26145</v>
      </c>
      <c r="U13" s="38">
        <f>Austria!U$9+Belgium!U$5+'Czech Republic'!U$4+Denmark!U$8+Germany!U$8+Italy!U$8+Poland!U$6</f>
        <v>24314</v>
      </c>
      <c r="V13" s="68">
        <f>Austria!V$9+Belgium!V$5+'Czech Republic'!V$4+Denmark!V$8+Germany!V$8+Italy!V$8+Poland!V$6</f>
        <v>22858</v>
      </c>
    </row>
    <row r="14" spans="1:23" x14ac:dyDescent="0.25">
      <c r="A14" s="40" t="s">
        <v>3</v>
      </c>
      <c r="B14" s="47">
        <f t="shared" si="0"/>
        <v>-3.7921048056476087E-2</v>
      </c>
      <c r="C14" s="79">
        <v>-139399.877638062</v>
      </c>
      <c r="D14" s="38">
        <v>-117028.89589737088</v>
      </c>
      <c r="E14" s="43">
        <f>Austria!E$10+Belgium!E$6+'Czech Republic'!E$5+France!E$12+Germany!E$9+Italy!E$9+Spain!E$4+Switzerland!E$8+Netherlands!E$4+Poland!E$7</f>
        <v>790702.33014405554</v>
      </c>
      <c r="F14" s="38">
        <f>Austria!F$10+Belgium!F$6+'Czech Republic'!F$5+France!F$12+Germany!F$9+Italy!F$9+Spain!F$4+Switzerland!F$8+Netherlands!F$4+Poland!F$7</f>
        <v>821868.44286192372</v>
      </c>
      <c r="G14" s="38">
        <f>Austria!G$10+Belgium!G$6+'Czech Republic'!G$5+France!G$12+Germany!G$9+Italy!G$9+Spain!G$4+Switzerland!G$8+Netherlands!G$4+Poland!G$7</f>
        <v>922094.94632877014</v>
      </c>
      <c r="H14" s="38">
        <f>Austria!H$10+Belgium!H$6+'Czech Republic'!H$5+France!H$12+Germany!H$9+Italy!H$9+Spain!H$4+Switzerland!H$8+Netherlands!H$4+Poland!H$7</f>
        <v>733959.17733356275</v>
      </c>
      <c r="I14" s="38">
        <f>Austria!I$10+Belgium!I$6+'Czech Republic'!I$5+France!I$12+Germany!I$9+Italy!I$9+Spain!I$4+Switzerland!I$8+Netherlands!I$4+Poland!I$7</f>
        <v>939735.3017862218</v>
      </c>
      <c r="J14" s="38">
        <f>Austria!J$10+Belgium!J$6+'Czech Republic'!J$5+France!J$12+Germany!J$9+Italy!J$9+Spain!J$4+Switzerland!J$8+Netherlands!J$4+Poland!J$7</f>
        <v>766965.79140717816</v>
      </c>
      <c r="K14" s="38">
        <f>Austria!K$10+Belgium!K$6+'Czech Republic'!K$5+France!K$12+Germany!K$9+Italy!K$9+Spain!K$4+Switzerland!K$8+Netherlands!K$4+Poland!K$7</f>
        <v>933563.13252830144</v>
      </c>
      <c r="L14" s="38">
        <f>Austria!L$10+Belgium!L$6+'Czech Republic'!L$5+France!L$12+Germany!L$9+Italy!L$9+Spain!L$4+Switzerland!L$8+Netherlands!L$4+Poland!L$7</f>
        <v>940480.90600000008</v>
      </c>
      <c r="M14" s="38">
        <f>Austria!M$10+Belgium!M$6+'Czech Republic'!M$5+France!M$12+Germany!M$9+Italy!M$9+Spain!M$4+Switzerland!M$8+Netherlands!M$4+Poland!M$7</f>
        <v>702712</v>
      </c>
      <c r="N14" s="38">
        <f>Austria!N$10+Belgium!N$6+'Czech Republic'!N$5+France!N$12+Germany!N$9+Italy!N$9+Spain!N$4+Switzerland!N$8+Netherlands!N$4+Poland!N$7</f>
        <v>1071433.377577058</v>
      </c>
      <c r="O14" s="38">
        <f>Austria!O$10+Belgium!O$6+'Czech Republic'!O$5+France!O$12+Germany!O$9+Italy!O$9+Spain!O$4+Switzerland!O$8+Netherlands!O$4+Poland!O$7</f>
        <v>1073531.2079331276</v>
      </c>
      <c r="P14" s="38">
        <f>Austria!P$10+Belgium!P$6+'Czech Republic'!P$5+France!P$12+Germany!P$9+Italy!P$9+Spain!P$4+Switzerland!P$8+Netherlands!P$4+Poland!P$7</f>
        <v>1128906</v>
      </c>
      <c r="Q14" s="38">
        <f>Austria!Q$10+Belgium!Q$6+'Czech Republic'!Q$5+France!Q$12+Germany!Q$9+Italy!Q$9+Spain!Q$4+Switzerland!Q$8+Netherlands!Q$4+Poland!Q$7</f>
        <v>1018295.1443014734</v>
      </c>
      <c r="R14" s="38">
        <f>Austria!R$10+Belgium!R$6+'Czech Republic'!R$5+France!R$12+Germany!R$9+Italy!R$9+Spain!R$4+Switzerland!R$8+Netherlands!R$4+Poland!R$7</f>
        <v>882361.88230374374</v>
      </c>
      <c r="S14" s="38">
        <f>Austria!S$10+Belgium!S$6+'Czech Republic'!S$5+France!S$12+Germany!S$9+Italy!S$9+Spain!S$4+Switzerland!S$8+Netherlands!S$4+Poland!S$7</f>
        <v>1071007.0868270807</v>
      </c>
      <c r="T14" s="38">
        <f>Austria!T$10+Belgium!T$6+'Czech Republic'!T$5+France!T$12+Germany!T$9+Italy!T$9+Poland!T$7+Spain!T$4+Switzerland!T$8+Netherlands!T$4</f>
        <v>1005461</v>
      </c>
      <c r="U14" s="38">
        <f>Austria!U$10+Belgium!U$6+'Czech Republic'!U$5+France!U$12+Germany!U$9+Italy!U$9+Spain!U$4+Switzerland!U$8+Netherlands!U$4+Poland!U$7</f>
        <v>1029587</v>
      </c>
      <c r="V14" s="68">
        <f>Austria!V$10+Belgium!V$6+'Czech Republic'!V$5+Germany!V$9+Italy!V$9+Spain!V$4+Switzerland!V$8+Netherlands!V$4+Poland!V$7</f>
        <v>892974.00214361935</v>
      </c>
    </row>
    <row r="15" spans="1:23" x14ac:dyDescent="0.25">
      <c r="A15" s="40" t="s">
        <v>17</v>
      </c>
      <c r="B15" s="47">
        <f t="shared" si="0"/>
        <v>-4.0346749236789763E-2</v>
      </c>
      <c r="C15" s="79">
        <v>-30766.538622997119</v>
      </c>
      <c r="D15" s="38">
        <v>-31382.214883794892</v>
      </c>
      <c r="E15" s="43">
        <f>Austria!E$11+France!E$14+Italy!E$10+Spain!E$5+Switzerland!E$9+Denmark!E$9</f>
        <v>141420.80691213801</v>
      </c>
      <c r="F15" s="38">
        <f>Austria!F$11+France!F$14+Italy!F$10+Spain!F$5+Switzerland!F$9+Denmark!F$9</f>
        <v>147366.56891399715</v>
      </c>
      <c r="G15" s="38">
        <f>Austria!G$11+France!G$14+Italy!G$10+Spain!G$5+Switzerland!G$9+Denmark!G$9</f>
        <v>110837.38176475957</v>
      </c>
      <c r="H15" s="38">
        <f>Austria!H$11+France!H$14+Italy!H$10+Spain!H$5+Switzerland!H$9+Denmark!H$9</f>
        <v>143759.66766638184</v>
      </c>
      <c r="I15" s="38">
        <f>Austria!I$11+France!I$14+Italy!I$10+Spain!I$5+Switzerland!I$9+Denmark!I$9</f>
        <v>129771.76790321982</v>
      </c>
      <c r="J15" s="38">
        <f>Austria!J$11+France!J$14+Italy!J$10+Spain!J$5+Switzerland!J$9+Denmark!J$9</f>
        <v>149477.05749964321</v>
      </c>
      <c r="K15" s="38">
        <f>Austria!K$11+France!K$14+Italy!K$10+Spain!K$5+Switzerland!K$9+Denmark!K$9</f>
        <v>128572.33220510103</v>
      </c>
      <c r="L15" s="38">
        <f>Austria!L$11+France!L$14+Italy!L$10+Spain!L$5+Switzerland!L$9</f>
        <v>142392.98000000001</v>
      </c>
      <c r="M15" s="38">
        <f>Austria!M$11+France!M$14+Italy!M$10+Spain!M$5+Switzerland!M$9</f>
        <v>143280</v>
      </c>
      <c r="N15" s="38">
        <f>Austria!N$11+France!N$14+Italy!N$10+Spain!N$5+Switzerland!N$9</f>
        <v>132933.56559578318</v>
      </c>
      <c r="O15" s="38">
        <f>Austria!O$11+France!O$14+Italy!O$10+Spain!O$5+Switzerland!O$9</f>
        <v>160343.28976973539</v>
      </c>
      <c r="P15" s="38">
        <f>Austria!P$11+France!P$14+Italy!P$10+Spain!P$5+Switzerland!P$9</f>
        <v>149888</v>
      </c>
      <c r="Q15" s="38">
        <f>Austria!Q$11+France!Q$14+Italy!Q$10+Spain!Q$5+Switzerland!Q$9</f>
        <v>142375.72744784818</v>
      </c>
      <c r="R15" s="38">
        <f>Austria!R$11+France!R$14+Italy!R$10+Spain!R$5+Switzerland!R$9</f>
        <v>90533.673669108888</v>
      </c>
      <c r="S15" s="38">
        <f>Austria!S$11+France!S$14+Italy!S$10+Spain!S$5+Switzerland!S$9</f>
        <v>120064.36561850543</v>
      </c>
      <c r="T15" s="38">
        <f>Austria!T$11+France!T$14+Italy!T$10+Spain!T$5+Switzerland!T$9</f>
        <v>115089</v>
      </c>
      <c r="U15" s="38">
        <f>Austria!U$11+France!U$14+Italy!U$10+Spain!U$5+Switzerland!U$9</f>
        <v>117792</v>
      </c>
      <c r="V15" s="68">
        <f>Austria!V$11+Italy!V$10+Spain!V$5+Switzerland!V$9</f>
        <v>55950</v>
      </c>
    </row>
    <row r="16" spans="1:23" x14ac:dyDescent="0.25">
      <c r="A16" s="40" t="s">
        <v>15</v>
      </c>
      <c r="B16" s="47">
        <f t="shared" si="0"/>
        <v>6.7710843373493974</v>
      </c>
      <c r="C16" s="79">
        <v>-622</v>
      </c>
      <c r="D16" s="38">
        <v>-173</v>
      </c>
      <c r="E16" s="43">
        <f>Denmark!E$10+Germany!E$10</f>
        <v>645</v>
      </c>
      <c r="F16" s="38">
        <f>Denmark!F$10+Germany!F$10</f>
        <v>83</v>
      </c>
      <c r="G16" s="38">
        <f>Denmark!G$10+Germany!G$10</f>
        <v>119</v>
      </c>
      <c r="H16" s="38">
        <f>Denmark!H$10+Germany!H$10</f>
        <v>886</v>
      </c>
      <c r="I16" s="38">
        <f>Denmark!I$10+Germany!I$10</f>
        <v>565</v>
      </c>
      <c r="J16" s="38">
        <f>Denmark!J$10+Germany!J$10</f>
        <v>768</v>
      </c>
      <c r="K16" s="38">
        <f>Denmark!K$10+Germany!K$10</f>
        <v>52</v>
      </c>
      <c r="L16" s="38">
        <f>Denmark!L$10+Germany!L$10</f>
        <v>1082</v>
      </c>
      <c r="M16" s="38">
        <f>Denmark!M$10+Germany!M$10</f>
        <v>190</v>
      </c>
      <c r="N16" s="38">
        <f>Denmark!N$10+Germany!N$10</f>
        <v>950</v>
      </c>
      <c r="O16" s="38">
        <f>Denmark!O$10+Germany!O$10</f>
        <v>1401</v>
      </c>
      <c r="P16" s="38">
        <f>Denmark!P$10+Germany!P$10</f>
        <v>1308</v>
      </c>
      <c r="Q16" s="38">
        <f>Denmark!Q$10+Germany!Q$10</f>
        <v>545</v>
      </c>
      <c r="R16" s="38">
        <f>Denmark!R$10+Germany!R$10</f>
        <v>82</v>
      </c>
      <c r="S16" s="38">
        <f>Denmark!S$10+Germany!S$10</f>
        <v>2150</v>
      </c>
      <c r="T16" s="38">
        <f>Denmark!T$10+Germany!T$10</f>
        <v>257</v>
      </c>
      <c r="U16" s="38">
        <f>Denmark!U$10+Germany!U$10</f>
        <v>2710</v>
      </c>
      <c r="V16" s="68">
        <f>Denmark!V$10+Germany!V$10</f>
        <v>3353</v>
      </c>
    </row>
    <row r="17" spans="1:108" x14ac:dyDescent="0.25">
      <c r="A17" s="40" t="s">
        <v>10</v>
      </c>
      <c r="B17" s="47">
        <f t="shared" si="0"/>
        <v>0.3023585034396386</v>
      </c>
      <c r="C17" s="79">
        <v>-30443.777314481384</v>
      </c>
      <c r="D17" s="38">
        <v>-20552.611071099149</v>
      </c>
      <c r="E17" s="43">
        <f>Austria!E$12+'Czech Republic'!E$6+Denmark!E$11+France!E$16+Germany!E$11+Italy!E$11+Switzerland!E$10+Poland!E$8</f>
        <v>166248.10752688171</v>
      </c>
      <c r="F17" s="38">
        <f>Austria!F$12+'Czech Republic'!F$6+Denmark!F$11+France!F$16+Germany!F$11+Italy!F$11+Switzerland!F$10+Poland!F$8</f>
        <v>127651.56989247311</v>
      </c>
      <c r="G17" s="38">
        <f>Austria!G$12+'Czech Republic'!G$6+Denmark!G$11+France!G$16+Germany!G$11+Italy!G$11+Switzerland!G$10+Poland!G$8</f>
        <v>136952.04301075268</v>
      </c>
      <c r="H17" s="38">
        <f>Austria!H$12+'Czech Republic'!H$6+Denmark!H$11+France!H$16+Germany!H$11+Italy!H$11+Switzerland!H$10+Poland!H$8</f>
        <v>192747.46033129905</v>
      </c>
      <c r="I17" s="38">
        <f>Austria!I$12+'Czech Republic'!I$6+Denmark!I$11+France!I$16+Germany!I$11+Italy!I$11+Switzerland!I$10+Poland!I$8</f>
        <v>235549.8302818948</v>
      </c>
      <c r="J17" s="38">
        <f>Austria!J$12+'Czech Republic'!J$6+Denmark!J$11+France!J$16+Germany!J$11+Italy!J$11+Switzerland!J$10+Poland!J$8</f>
        <v>218743.7</v>
      </c>
      <c r="K17" s="38">
        <f>Austria!K$12+'Czech Republic'!K$6+Denmark!K$11+France!K$16+Germany!K$11+Italy!K$11+Switzerland!K$10+Poland!K$8</f>
        <v>144433</v>
      </c>
      <c r="L17" s="38">
        <f>Austria!L$12+'Czech Republic'!L$6+Denmark!L$11+France!L$16+Germany!L$11+Italy!L$11+Switzerland!L$10+Poland!L$8</f>
        <v>301166.81</v>
      </c>
      <c r="M17" s="38">
        <f>Austria!M$12+'Czech Republic'!M$6+Denmark!M$11+France!M$16+Germany!M$11+Italy!M$11+Switzerland!M$10+Poland!M$8</f>
        <v>138779</v>
      </c>
      <c r="N17" s="38">
        <f>Austria!N$12+'Czech Republic'!N$6+Denmark!N$11+France!N$16+Germany!N$11+Italy!N$11+Switzerland!N$10+Poland!N$8</f>
        <v>293092.98</v>
      </c>
      <c r="O17" s="38">
        <f>Austria!O$12+'Czech Republic'!O$6+Denmark!O$11+France!O$16+Germany!O$11+Italy!O$11+Switzerland!O$10+Poland!O$8</f>
        <v>325358.07</v>
      </c>
      <c r="P17" s="38">
        <f>Austria!P$12+'Czech Republic'!P$6+Denmark!P$11+France!P$16+Germany!P$11+Italy!P$11+Switzerland!P$10+Poland!P$8</f>
        <v>305085</v>
      </c>
      <c r="Q17" s="38">
        <f>Austria!Q$12+'Czech Republic'!Q$6+Denmark!Q$11+France!Q$16+Germany!Q$11+Italy!Q$11+Switzerland!Q$10+Poland!Q$8</f>
        <v>272925.75</v>
      </c>
      <c r="R17" s="38">
        <f>Austria!R$12+'Czech Republic'!R$6+Denmark!R$11+France!R$16+Germany!R$11+Italy!R$11+Switzerland!R$10+Poland!R$8</f>
        <v>261776.2639814119</v>
      </c>
      <c r="S17" s="38">
        <f>Austria!S$12+'Czech Republic'!S$6+Denmark!S$11+France!S$16+Germany!S$11+Italy!S$11+Switzerland!S$10+Poland!S$8</f>
        <v>255584.21370302443</v>
      </c>
      <c r="T17" s="38">
        <f>Austria!T$12+'Czech Republic'!T$6+Denmark!T$11+France!T$16+Germany!T$11+Italy!T$11+Switzerland!T$10+Poland!T$8</f>
        <v>142094</v>
      </c>
      <c r="U17" s="38">
        <f>Austria!U$12+'Czech Republic'!U$6+Denmark!U$11+France!U$16+Germany!U$11+Italy!U$11+Switzerland!U$10+Poland!U$8</f>
        <v>168266</v>
      </c>
      <c r="V17" s="68">
        <f>Austria!V$12+'Czech Republic'!V$6+Denmark!V$11+Germany!V$11+Italy!V$11+Switzerland!V$10+Poland!V$8</f>
        <v>194352</v>
      </c>
      <c r="W17" s="1"/>
    </row>
    <row r="18" spans="1:108" x14ac:dyDescent="0.25">
      <c r="A18" s="40" t="s">
        <v>26</v>
      </c>
      <c r="B18" s="47">
        <f t="shared" si="0"/>
        <v>0.28883195308530213</v>
      </c>
      <c r="C18" s="79">
        <v>-25303.981221728405</v>
      </c>
      <c r="D18" s="38">
        <v>-17144.018421425862</v>
      </c>
      <c r="E18" s="43">
        <f>Austria!E$13+Belgium!E$7+'Czech Republic'!E$7+Denmark!E$13+France!E$18+Germany!E$13+Italy!E$12+Switzerland!E$11+Netherlands!E$5+UK!E$7+Poland!E$9</f>
        <v>153963.99582913658</v>
      </c>
      <c r="F18" s="38">
        <f>Austria!F$13+Belgium!F$7+'Czech Republic'!F$7+Denmark!F$13+France!F$18+Germany!F$13+Italy!F$12+Switzerland!F$11+Netherlands!F$5+UK!F$7+Poland!F$9</f>
        <v>119460.10142017822</v>
      </c>
      <c r="G18" s="38">
        <f>Austria!G$13+Belgium!G$7+'Czech Republic'!G$7+Denmark!G$13+France!G$18+Germany!G$13+Italy!G$12+Switzerland!G$11+Netherlands!G$5+UK!G$7+Poland!G$9</f>
        <v>138170.25806451612</v>
      </c>
      <c r="H18" s="38">
        <f>Austria!H$13+Belgium!H$7+'Czech Republic'!H$7+Denmark!H$13+France!H$18+Germany!H$13+Italy!H$12+Switzerland!H$11+Netherlands!H$5+UK!H$7+Poland!H$9</f>
        <v>156387.55303690786</v>
      </c>
      <c r="I18" s="38">
        <f>Austria!I$13+Belgium!I$7+'Czech Republic'!I$7+Denmark!I$13+France!I$18+Germany!I$13+Italy!I$12+Switzerland!I$11+Netherlands!I$5+UK!I$7+Poland!I$9</f>
        <v>206912.18977041557</v>
      </c>
      <c r="J18" s="38">
        <f>Austria!J$13+Belgium!J$7+'Czech Republic'!J$7+Denmark!J$13+France!J$18+Germany!J$13+Italy!J$12+Switzerland!J$11+Netherlands!J$5+UK!J$7+Poland!J$9</f>
        <v>176532.35</v>
      </c>
      <c r="K18" s="38">
        <f>Austria!K$13+Belgium!K$7+'Czech Republic'!K$7+Denmark!K$13+France!K$18+Germany!K$13+Italy!K$12+Switzerland!K$11+Netherlands!K$5+UK!K$7+Poland!K$9</f>
        <v>159040</v>
      </c>
      <c r="L18" s="38">
        <f>Austria!L$13+Belgium!L$7+'Czech Republic'!L$7+Denmark!L$13+France!L$18+Germany!L$13+Italy!L$12+Switzerland!L$11+Netherlands!L$5+UK!L$7+Poland!L$9</f>
        <v>215411.50099999999</v>
      </c>
      <c r="M18" s="38">
        <f>Austria!M$13+Belgium!M$7+'Czech Republic'!M$7+Denmark!M$13+France!M$18+Germany!M$13+Italy!M$12+Switzerland!M$11+Netherlands!M$5+UK!M$7+Poland!M$9</f>
        <v>94123</v>
      </c>
      <c r="N18" s="38">
        <f>Austria!N$13+Belgium!N$7+'Czech Republic'!N$7+Denmark!N$13+France!N$18+Germany!N$13+Italy!N$12+Switzerland!N$11+Netherlands!N$5+UK!N$7+Poland!N$9</f>
        <v>223189.08000000002</v>
      </c>
      <c r="O18" s="38">
        <f>Austria!O$13+Belgium!O$7+'Czech Republic'!O$7+Denmark!O$13+France!O$18+Germany!O$13+Italy!O$12+Switzerland!O$11+Netherlands!O$5+UK!O$7+Poland!O$9</f>
        <v>252600.36</v>
      </c>
      <c r="P18" s="38">
        <f>Austria!P$13+Belgium!P$7+'Czech Republic'!P$7+Denmark!P$13+France!P$18+Germany!P$13+Italy!P$12+Switzerland!P$11+Netherlands!P$5+UK!P$7+Poland!P$9</f>
        <v>273662</v>
      </c>
      <c r="Q18" s="38">
        <f>Austria!Q$13+Belgium!Q$7+'Czech Republic'!Q$7+Denmark!Q$13+France!Q$18+Germany!Q$13+Italy!Q$12+Switzerland!Q$11+Netherlands!Q$5+UK!Q$7+Poland!Q$9</f>
        <v>235417.69</v>
      </c>
      <c r="R18" s="38">
        <f>Austria!R$13+Belgium!R$7+'Czech Republic'!R$7+Denmark!R$13+France!R$18+Germany!R$13+Italy!R$12+Switzerland!R$11+Netherlands!R$5+UK!R$7+Poland!R$9</f>
        <v>223657.38303375087</v>
      </c>
      <c r="S18" s="38">
        <f>Austria!S$13+Belgium!S$7+'Czech Republic'!S$7+Denmark!S$13+France!S$18+Germany!S$13+Italy!S$12+Switzerland!S$11+Netherlands!S$5+UK!S$7+Poland!S$9</f>
        <v>289911.32215893676</v>
      </c>
      <c r="T18" s="38">
        <f>Austria!T$13+Belgium!T$7+'Czech Republic'!T$7+Denmark!T$13+France!T$18+Germany!T$13+Italy!T$12+Switzerland!T$11+Netherlands!T$5+UK!T$7+Poland!T$9</f>
        <v>191870</v>
      </c>
      <c r="U18" s="38">
        <f>Austria!U$13+Belgium!U$7+'Czech Republic'!U$7+Denmark!U$13+France!U$18+Germany!U$13+Italy!U$12+Switzerland!U$11+Netherlands!U$5+UK!U$7+Poland!U$9</f>
        <v>315738</v>
      </c>
      <c r="V18" s="68">
        <f>Austria!V$13+Belgium!V$7+'Czech Republic'!V$7+Denmark!V$13+Germany!V$13+Italy!V$12+Switzerland!V$11+Netherlands!V$5+UK!V$7+Poland!V$9</f>
        <v>276234</v>
      </c>
      <c r="W18" s="1"/>
    </row>
    <row r="19" spans="1:108" x14ac:dyDescent="0.25">
      <c r="A19" s="40" t="s">
        <v>25</v>
      </c>
      <c r="B19" s="47">
        <f t="shared" si="0"/>
        <v>0.58270287481085292</v>
      </c>
      <c r="C19" s="79">
        <v>-2910.2992834341421</v>
      </c>
      <c r="D19" s="38">
        <v>-6530.6631161441583</v>
      </c>
      <c r="E19" s="43">
        <f>Austria!E$14+Belgium!E$8+Denmark!E$14+Germany!E$14+UK!E$8</f>
        <v>32394.302830568427</v>
      </c>
      <c r="F19" s="38">
        <f>Austria!F$14+Belgium!F$8+Denmark!F$14+Germany!F$14+UK!F$8</f>
        <v>20467.709603699201</v>
      </c>
      <c r="G19" s="38">
        <f>Austria!G$14+Belgium!G$8+Denmark!G$14+Germany!G$14+UK!G$8</f>
        <v>25212</v>
      </c>
      <c r="H19" s="38">
        <f>Austria!H$14+Belgium!H$8+Denmark!H$14+Germany!H$14+UK!H$8</f>
        <v>30776</v>
      </c>
      <c r="I19" s="38">
        <f>Austria!I$14+Belgium!I$8+Denmark!I$14+Germany!I$14+UK!I$8</f>
        <v>47394</v>
      </c>
      <c r="J19" s="38">
        <f>Austria!J$14+Belgium!J$8+Denmark!J$14+Germany!J$14+UK!J$8</f>
        <v>39276</v>
      </c>
      <c r="K19" s="38">
        <f>Austria!K$14+Belgium!K$8+Denmark!K$14+Germany!K$14+UK!K$8</f>
        <v>58557</v>
      </c>
      <c r="L19" s="38">
        <f>Austria!L$14+Belgium!L$8+Denmark!L$14+Germany!L$14+UK!L$8</f>
        <v>85172</v>
      </c>
      <c r="M19" s="38">
        <f>Austria!M$14+Belgium!M$8+Denmark!M$14+Germany!M$14+UK!M$8</f>
        <v>24420</v>
      </c>
      <c r="N19" s="38">
        <f>Austria!N$14+Belgium!N$8+Denmark!N$14+Germany!N$14+UK!N$8</f>
        <v>80622.38</v>
      </c>
      <c r="O19" s="38">
        <f>Austria!O$14+Belgium!O$8+Denmark!O$14+Germany!O$14+UK!O$8</f>
        <v>87036.77</v>
      </c>
      <c r="P19" s="38">
        <f>Austria!P$14+Belgium!P$8+Denmark!P$14+Germany!P$14+UK!P$8</f>
        <v>113241</v>
      </c>
      <c r="Q19" s="38">
        <f>Austria!Q$14+Belgium!Q$8+Denmark!Q$14+Germany!Q$14+UK!Q$8</f>
        <v>73196.06</v>
      </c>
      <c r="R19" s="38">
        <f>Austria!R$14+Belgium!R$8+Denmark!R$14+Germany!R$14+UK!R$8</f>
        <v>89446</v>
      </c>
      <c r="S19" s="38">
        <f>Austria!S$14+Belgium!S$8+Denmark!S$14+Germany!S$14+UK!S$8</f>
        <v>103821</v>
      </c>
      <c r="T19" s="38">
        <f>Austria!T$14+Belgium!T$8+Denmark!T$14+Germany!T$14+UK!T$8</f>
        <v>80995.805331768948</v>
      </c>
      <c r="U19" s="38">
        <f>Austria!U$14+Belgium!U$8+Denmark!U$14+Germany!U$14+UK!U$8</f>
        <v>110346</v>
      </c>
      <c r="V19" s="68">
        <f>Austria!V$14+Belgium!V$8+Denmark!V$14+Germany!V$14+UK!V$8</f>
        <v>100166</v>
      </c>
    </row>
    <row r="20" spans="1:108" x14ac:dyDescent="0.25">
      <c r="A20" s="40" t="s">
        <v>49</v>
      </c>
      <c r="B20" s="108" t="str">
        <f t="shared" si="0"/>
        <v/>
      </c>
      <c r="C20" s="135">
        <v>0</v>
      </c>
      <c r="D20" s="38">
        <v>0</v>
      </c>
      <c r="E20" s="43">
        <f>Italy!E$13</f>
        <v>0</v>
      </c>
      <c r="F20" s="38">
        <f>Italy!F$13</f>
        <v>0</v>
      </c>
      <c r="G20" s="38">
        <f>Italy!G$13</f>
        <v>0</v>
      </c>
      <c r="H20" s="38">
        <f>Italy!H$13</f>
        <v>0</v>
      </c>
      <c r="I20" s="38">
        <f>Italy!I$13</f>
        <v>0</v>
      </c>
      <c r="J20" s="38">
        <f>Italy!J$13</f>
        <v>0</v>
      </c>
      <c r="K20" s="38">
        <f>Italy!K$13</f>
        <v>0</v>
      </c>
      <c r="L20" s="38">
        <f>Italy!L$13</f>
        <v>0</v>
      </c>
      <c r="M20" s="38">
        <f>Italy!M$13</f>
        <v>0</v>
      </c>
      <c r="N20" s="38">
        <f>Italy!N$13</f>
        <v>0</v>
      </c>
      <c r="O20" s="38">
        <f>Italy!O$13</f>
        <v>7</v>
      </c>
      <c r="P20" s="38">
        <f>Italy!P$13</f>
        <v>6</v>
      </c>
      <c r="Q20" s="38">
        <f>Italy!Q$13</f>
        <v>0</v>
      </c>
      <c r="R20" s="38">
        <f>Italy!R$13+Poland!R$10</f>
        <v>100001.00312106697</v>
      </c>
      <c r="S20" s="38">
        <f>Italy!S$13+Poland!S$10</f>
        <v>100002.00605329082</v>
      </c>
      <c r="T20" s="38">
        <f>Italy!T$13+Poland!T$10</f>
        <v>0</v>
      </c>
      <c r="U20" s="38">
        <f>Italy!U$13+Poland!U$10</f>
        <v>8006</v>
      </c>
      <c r="V20" s="68">
        <f>Italy!V$13+Poland!V$10</f>
        <v>5007</v>
      </c>
    </row>
    <row r="21" spans="1:108" x14ac:dyDescent="0.25">
      <c r="A21" s="40" t="s">
        <v>33</v>
      </c>
      <c r="B21" s="47" t="str">
        <f t="shared" si="0"/>
        <v/>
      </c>
      <c r="C21" s="79">
        <v>0</v>
      </c>
      <c r="D21" s="38">
        <v>0</v>
      </c>
      <c r="E21" s="43">
        <f>Poland!E$11</f>
        <v>0</v>
      </c>
      <c r="F21" s="38">
        <f>Poland!F$11</f>
        <v>0</v>
      </c>
      <c r="G21" s="38">
        <f>Poland!G$11</f>
        <v>0</v>
      </c>
      <c r="H21" s="38">
        <f>Poland!H$11</f>
        <v>0</v>
      </c>
      <c r="I21" s="38">
        <f>Poland!I$11</f>
        <v>0</v>
      </c>
      <c r="J21" s="38">
        <f>Poland!J$11</f>
        <v>0</v>
      </c>
      <c r="K21" s="38">
        <f>Poland!K$11</f>
        <v>0</v>
      </c>
      <c r="L21" s="38">
        <f>Poland!L$11</f>
        <v>0</v>
      </c>
      <c r="M21" s="38">
        <f>Poland!M$11</f>
        <v>0</v>
      </c>
      <c r="N21" s="38">
        <f>Poland!N$11</f>
        <v>0</v>
      </c>
      <c r="O21" s="38">
        <f>Poland!O$11</f>
        <v>0</v>
      </c>
      <c r="P21" s="38">
        <f>Poland!P$11</f>
        <v>0</v>
      </c>
      <c r="Q21" s="38">
        <f>Poland!Q$11</f>
        <v>500</v>
      </c>
      <c r="R21" s="38">
        <f>Poland!R$11</f>
        <v>0</v>
      </c>
      <c r="S21" s="38">
        <f>Poland!S$11</f>
        <v>2000</v>
      </c>
      <c r="T21" s="38">
        <f>Poland!T$11</f>
        <v>24000</v>
      </c>
      <c r="U21" s="38">
        <f>Poland!U$11</f>
        <v>45000</v>
      </c>
      <c r="V21" s="68">
        <f>Poland!V$11</f>
        <v>40000</v>
      </c>
    </row>
    <row r="22" spans="1:108" x14ac:dyDescent="0.25">
      <c r="A22" s="40" t="s">
        <v>18</v>
      </c>
      <c r="B22" s="47">
        <f t="shared" si="0"/>
        <v>6.1390506918916343E-2</v>
      </c>
      <c r="C22" s="79">
        <v>-3216</v>
      </c>
      <c r="D22" s="38">
        <v>-3215.772596101393</v>
      </c>
      <c r="E22" s="43">
        <f>Italy!E$14</f>
        <v>9216</v>
      </c>
      <c r="F22" s="38">
        <f>Italy!F$14</f>
        <v>8682.9493385548485</v>
      </c>
      <c r="G22" s="38">
        <f>Italy!G$14</f>
        <v>7478.1360000000004</v>
      </c>
      <c r="H22" s="38">
        <f>Italy!H$14</f>
        <v>10010</v>
      </c>
      <c r="I22" s="38">
        <f>Italy!I$14</f>
        <v>13124</v>
      </c>
      <c r="J22" s="38">
        <f>Italy!J$14</f>
        <v>14610.84</v>
      </c>
      <c r="K22" s="38">
        <f>Italy!K$14</f>
        <v>11235</v>
      </c>
      <c r="L22" s="38">
        <f>Italy!L$14</f>
        <v>13993</v>
      </c>
      <c r="M22" s="38">
        <f>Italy!M$14</f>
        <v>9497</v>
      </c>
      <c r="N22" s="38">
        <f>Italy!N$14</f>
        <v>16122.869999999999</v>
      </c>
      <c r="O22" s="38">
        <f>Italy!O$14</f>
        <v>17340.43</v>
      </c>
      <c r="P22" s="38">
        <f>Italy!P$14</f>
        <v>24474</v>
      </c>
      <c r="Q22" s="38">
        <f>Italy!Q$14</f>
        <v>18589</v>
      </c>
      <c r="R22" s="38">
        <f>Italy!R$14</f>
        <v>18395.234126124298</v>
      </c>
      <c r="S22" s="38">
        <f>Italy!S$14</f>
        <v>12292.091539485882</v>
      </c>
      <c r="T22" s="38">
        <f>Italy!T$14</f>
        <v>33900</v>
      </c>
      <c r="U22" s="38">
        <f>Italy!U$14</f>
        <v>20861</v>
      </c>
      <c r="V22" s="68">
        <f>Italy!V$14</f>
        <v>40903</v>
      </c>
    </row>
    <row r="23" spans="1:108" x14ac:dyDescent="0.25">
      <c r="A23" s="40" t="s">
        <v>13</v>
      </c>
      <c r="B23" s="47">
        <f t="shared" si="0"/>
        <v>0.12744485858490268</v>
      </c>
      <c r="C23" s="79">
        <v>-23481.94047483668</v>
      </c>
      <c r="D23" s="38">
        <v>-18381.745034936757</v>
      </c>
      <c r="E23" s="43">
        <f>Austria!E$16+Denmark!E$16+Germany!E$15+Switzerland!E$14+Poland!E$12+Italy!E$15</f>
        <v>77195.118279569899</v>
      </c>
      <c r="F23" s="38">
        <f>Austria!F$16+Denmark!F$16+Germany!F$15+Switzerland!F$14+Poland!F$12+Italy!F$15</f>
        <v>68469.085376344097</v>
      </c>
      <c r="G23" s="38">
        <f>Austria!G$16+Denmark!G$16+Germany!G$15+Switzerland!G$14+Poland!G$12+Italy!G$15</f>
        <v>83325.692473118281</v>
      </c>
      <c r="H23" s="38">
        <f>Austria!H$16+Denmark!H$16+Germany!H$15+Switzerland!H$14+Poland!H$12+Italy!H$15</f>
        <v>84878.646033129902</v>
      </c>
      <c r="I23" s="38">
        <f>Austria!I$16+Denmark!I$16+Germany!I$15+Switzerland!I$14+Poland!I$12+Italy!I$15</f>
        <v>68558.166521360079</v>
      </c>
      <c r="J23" s="38">
        <f>Austria!J$16+Denmark!J$16+Germany!J$15+Switzerland!J$14+Poland!J$12+Italy!J$15</f>
        <v>69157</v>
      </c>
      <c r="K23" s="38">
        <f>Austria!K$16+Denmark!K$16+Germany!K$15+Switzerland!K$14+Poland!K$12+Italy!K$15</f>
        <v>46127</v>
      </c>
      <c r="L23" s="38">
        <f>Austria!L$16+Denmark!L$16+Germany!L$15+Switzerland!L$14+Poland!L$12+Italy!L$15</f>
        <v>62390.74</v>
      </c>
      <c r="M23" s="38">
        <f>Austria!M$16+Denmark!M$16+Germany!M$15+Switzerland!M$14+Poland!M$12</f>
        <v>16353</v>
      </c>
      <c r="N23" s="38">
        <f>Austria!N$16+Denmark!N$16+Germany!N$15+Switzerland!N$14+Poland!N$12</f>
        <v>21106.35</v>
      </c>
      <c r="O23" s="38">
        <f>Austria!O$16+Denmark!O$16+Germany!O$15+Switzerland!O$14+Poland!O$12</f>
        <v>23312.87</v>
      </c>
      <c r="P23" s="38">
        <f>Austria!P$16+Denmark!P$16+Germany!P$15+Switzerland!P$14+Poland!P$12</f>
        <v>24204</v>
      </c>
      <c r="Q23" s="38">
        <f>Austria!Q$16+Denmark!Q$16+Germany!Q$15+Switzerland!Q$14+Poland!Q$12</f>
        <v>22211.599999999999</v>
      </c>
      <c r="R23" s="38">
        <f>Austria!R$15+Denmark!R$16+Germany!R$15+Switzerland!R$14</f>
        <v>12074</v>
      </c>
      <c r="S23" s="38">
        <f>Austria!S$15+Denmark!S$16+Germany!S$15+Switzerland!S$14</f>
        <v>10889</v>
      </c>
      <c r="T23" s="38">
        <f>Austria!T$16+Denmark!T$16+Germany!T$15+Switzerland!T$14</f>
        <v>11053</v>
      </c>
      <c r="U23" s="38">
        <f>Austria!U$16+Denmark!U$16+Germany!U$15+Switzerland!U$14</f>
        <v>13153</v>
      </c>
      <c r="V23" s="68">
        <f>Austria!V$16+Denmark!V$16+Germany!V$15+Switzerland!V$14</f>
        <v>10003</v>
      </c>
    </row>
    <row r="24" spans="1:108" x14ac:dyDescent="0.25">
      <c r="A24" s="40" t="s">
        <v>19</v>
      </c>
      <c r="B24" s="47">
        <f t="shared" si="0"/>
        <v>-0.24417702992780232</v>
      </c>
      <c r="C24" s="79">
        <v>-44231.128187316805</v>
      </c>
      <c r="D24" s="38">
        <v>-31094.700661914394</v>
      </c>
      <c r="E24" s="43">
        <f>'Czech Republic'!E$8+France!E$21+Italy!E$16+Spain!E$6+Poland!E$13</f>
        <v>100474.8718126832</v>
      </c>
      <c r="F24" s="38">
        <f>'Czech Republic'!F$8+France!F$21+Italy!F$16+Spain!F$6+Poland!F$13</f>
        <v>132934.39838575645</v>
      </c>
      <c r="G24" s="38">
        <f>'Czech Republic'!G$8+France!G$21+Italy!G$16+Spain!G$6+Poland!G$13</f>
        <v>116695.7769479675</v>
      </c>
      <c r="H24" s="38">
        <f>'Czech Republic'!H$8+France!H$21+Italy!H$16+Spain!H$6+Poland!H$13</f>
        <v>177679.4220461821</v>
      </c>
      <c r="I24" s="38">
        <f>'Czech Republic'!I$8+France!I$21+Italy!I$16+Spain!I$6+Poland!I$13</f>
        <v>149039.98748727897</v>
      </c>
      <c r="J24" s="38">
        <f>'Czech Republic'!J$8+France!J$21+Italy!J$16+Spain!J$6+Poland!J$13</f>
        <v>163454.52733975253</v>
      </c>
      <c r="K24" s="38">
        <f>'Czech Republic'!K$8+France!K$21+Italy!K$16+Spain!K$6+Poland!K$13</f>
        <v>143533.20942782034</v>
      </c>
      <c r="L24" s="38">
        <f>'Czech Republic'!L$8+France!L$21+Italy!L$16+Spain!L$6+Poland!L$13</f>
        <v>161141</v>
      </c>
      <c r="M24" s="38">
        <f>'Czech Republic'!M$8+France!M$21+Italy!M$16+Spain!M$6+Poland!M$13</f>
        <v>106734</v>
      </c>
      <c r="N24" s="38">
        <f>'Czech Republic'!N$8+France!N$21+Italy!N$16+Spain!N$6+Poland!N$13</f>
        <v>147758.54718353349</v>
      </c>
      <c r="O24" s="38">
        <f>'Czech Republic'!O$8+France!O$21+Italy!O$16+Spain!O$6+Poland!O$13</f>
        <v>150868.43531563855</v>
      </c>
      <c r="P24" s="38">
        <f>'Czech Republic'!P$8+France!P$21+Italy!P$16+Spain!P$6+Poland!P$13</f>
        <v>138405</v>
      </c>
      <c r="Q24" s="38">
        <f>'Czech Republic'!Q$8+France!Q$21+Italy!Q$16+Spain!Q$6+Poland!Q$13</f>
        <v>141994.91283606298</v>
      </c>
      <c r="R24" s="38">
        <f>'Czech Republic'!R$8+France!R$21+Italy!R$16+Spain!R$6+Poland!R$12+Poland!R$13</f>
        <v>96073.269413643138</v>
      </c>
      <c r="S24" s="38">
        <f>'Czech Republic'!S$8+France!S$21+Italy!S$16+Spain!S$6+Poland!S$12+Poland!S$13</f>
        <v>123208.02175464648</v>
      </c>
      <c r="T24" s="38">
        <f>'Czech Republic'!T$8+France!T$20+Italy!T$16+Spain!T$6+Poland!T$12+Poland!T$13</f>
        <v>130175</v>
      </c>
      <c r="U24" s="38">
        <f>'Czech Republic'!U$8+France!U$21+Italy!U$16+Spain!U$6+Poland!U$12+Poland!U$13</f>
        <v>167174</v>
      </c>
      <c r="V24" s="68">
        <f>'Czech Republic'!V$8+Italy!V$16+Spain!V$6+Poland!V$12+Poland!V$13</f>
        <v>138517.42478067358</v>
      </c>
    </row>
    <row r="25" spans="1:108" x14ac:dyDescent="0.25">
      <c r="A25" s="40" t="s">
        <v>132</v>
      </c>
      <c r="B25" s="47">
        <f t="shared" si="0"/>
        <v>0.39534454404906222</v>
      </c>
      <c r="C25" s="79">
        <v>-38963.592168606207</v>
      </c>
      <c r="D25" s="38">
        <v>-33039.930088573863</v>
      </c>
      <c r="E25" s="43">
        <f>Germany!E$16+Austria!E$17+Poland!E$14</f>
        <v>219684.29032258064</v>
      </c>
      <c r="F25" s="38">
        <f>Germany!F$16+Austria!F$17+Poland!F$14</f>
        <v>157440.89247311826</v>
      </c>
      <c r="G25" s="38">
        <f>Germany!G$16+Austria!G$17+Poland!G$14</f>
        <v>193884.86021505378</v>
      </c>
      <c r="H25" s="38">
        <f>Germany!H$16+Austria!H$17+Poland!H$14</f>
        <v>270023.28916012787</v>
      </c>
      <c r="I25" s="38">
        <f>Germany!I$16+Austria!I$17+Poland!I$14</f>
        <v>219558.39930252833</v>
      </c>
      <c r="J25" s="38">
        <f>Germany!J$16+Austria!J$17+Poland!J$14</f>
        <v>161504.5</v>
      </c>
      <c r="K25" s="38">
        <f>Germany!K$16+Austria!K$17+Poland!K$14</f>
        <v>115541</v>
      </c>
      <c r="L25" s="38">
        <f>Germany!L$16+Austria!L$17+Poland!L$14</f>
        <v>113476.38</v>
      </c>
      <c r="M25" s="38">
        <f>Germany!M$16+Austria!M$17</f>
        <v>37946</v>
      </c>
      <c r="N25" s="38">
        <f>Germany!N$16</f>
        <v>54604</v>
      </c>
      <c r="O25" s="38">
        <f>Germany!O$16</f>
        <v>32788</v>
      </c>
      <c r="P25" s="38">
        <f>Germany!P$16</f>
        <v>34960</v>
      </c>
      <c r="Q25" s="38">
        <f>Germany!Q$16</f>
        <v>15690</v>
      </c>
      <c r="R25" s="38">
        <f>Germany!R$16</f>
        <v>24379</v>
      </c>
      <c r="S25" s="38">
        <f>Germany!S$16</f>
        <v>18108</v>
      </c>
      <c r="T25" s="38">
        <f>Germany!T$16</f>
        <v>13550</v>
      </c>
      <c r="U25" s="38">
        <f>Germany!U$16</f>
        <v>17567</v>
      </c>
      <c r="V25" s="68">
        <f>Germany!V$16</f>
        <v>11781</v>
      </c>
    </row>
    <row r="26" spans="1:108" s="4" customFormat="1" ht="13.8" thickBot="1" x14ac:dyDescent="0.3">
      <c r="A26" s="40" t="s">
        <v>121</v>
      </c>
      <c r="B26" s="47">
        <f t="shared" si="0"/>
        <v>-5.5179631986236349E-2</v>
      </c>
      <c r="C26" s="79">
        <v>-8204.4689000000035</v>
      </c>
      <c r="D26" s="38">
        <v>-4521.8710000000028</v>
      </c>
      <c r="E26" s="43">
        <f>France!E$20+France!E$19+Italy!E$17+Switzerland!E$12</f>
        <v>28568.810300000001</v>
      </c>
      <c r="F26" s="38">
        <f>France!F$20+France!F$19+Italy!F$17+Switzerland!F$12</f>
        <v>30237.293000000001</v>
      </c>
      <c r="G26" s="38">
        <f>France!G$20+France!G$19+Italy!G$17+Switzerland!G$12</f>
        <v>20493.2</v>
      </c>
      <c r="H26" s="38">
        <f>France!H$20+France!H$19+Italy!H$17+Switzerland!H$12</f>
        <v>32075</v>
      </c>
      <c r="I26" s="38">
        <f>France!I$20+France!I$19+Italy!I$17+Switzerland!I$12</f>
        <v>25301</v>
      </c>
      <c r="J26" s="38">
        <f>France!J$20+France!J$19+Italy!J$17+Switzerland!J$12</f>
        <v>31389.5</v>
      </c>
      <c r="K26" s="38">
        <f>France!K$20+France!K$19+Italy!K$17+Switzerland!K$12</f>
        <v>22946</v>
      </c>
      <c r="L26" s="38">
        <f>France!L$20+France!L$19+Italy!L$17+Switzerland!L$12</f>
        <v>31821</v>
      </c>
      <c r="M26" s="38">
        <f>France!M$20+France!M$19+Italy!M$17+Switzerland!M$12</f>
        <v>11900</v>
      </c>
      <c r="N26" s="38">
        <f>France!N$20+France!N$19+Italy!N$17+Switzerland!N$12</f>
        <v>23795.1</v>
      </c>
      <c r="O26" s="38">
        <f>France!O$20+France!O$19+Italy!O$17+Switzerland!O$12</f>
        <v>25479.9</v>
      </c>
      <c r="P26" s="38">
        <f>France!P$20+France!P$19+Italy!P$17+Switzerland!P$12</f>
        <v>24726</v>
      </c>
      <c r="Q26" s="38">
        <f>France!Q$20+France!Q$19+Italy!Q$17+Switzerland!Q$12</f>
        <v>31627</v>
      </c>
      <c r="R26" s="38">
        <f>France!R$20+France!R$19+Italy!R$17+Switzerland!R$12</f>
        <v>11455.174526192528</v>
      </c>
      <c r="S26" s="38">
        <f>France!S$20+France!S$19+Italy!S$17+Switzerland!S$12</f>
        <v>21840.6932110915</v>
      </c>
      <c r="T26" s="38">
        <f>France!T$21+France!T$19+Italy!T$17+Switzerland!T$12</f>
        <v>21828</v>
      </c>
      <c r="U26" s="38">
        <f>France!U$19+France!U$20+Italy!U$17+Switzerland!U$12</f>
        <v>22425</v>
      </c>
      <c r="V26" s="68">
        <f>Italy!V$17+Switzerland!V$12</f>
        <v>7569</v>
      </c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</row>
    <row r="27" spans="1:108" x14ac:dyDescent="0.25">
      <c r="A27" s="40" t="s">
        <v>87</v>
      </c>
      <c r="B27" s="47">
        <f t="shared" si="0"/>
        <v>1.4699113143277995E-2</v>
      </c>
      <c r="C27" s="79">
        <v>-15174</v>
      </c>
      <c r="D27" s="38">
        <v>-15141</v>
      </c>
      <c r="E27" s="43">
        <f>'Czech Republic'!E$9+Germany!E$17+Poland!E$15</f>
        <v>66132</v>
      </c>
      <c r="F27" s="38">
        <f>'Czech Republic'!F$9+Germany!F$17+Poland!F$15</f>
        <v>65174</v>
      </c>
      <c r="G27" s="38">
        <f>'Czech Republic'!G$9+Germany!G$17+Poland!G$15</f>
        <v>70556</v>
      </c>
      <c r="H27" s="38">
        <f>'Czech Republic'!H$9+Germany!H$17+Poland!H$15</f>
        <v>85702</v>
      </c>
      <c r="I27" s="38">
        <f>'Czech Republic'!I$9+Germany!I$17+Poland!I$15</f>
        <v>99353</v>
      </c>
      <c r="J27" s="38">
        <f>'Czech Republic'!J$9+Germany!J$17+Poland!J$15</f>
        <v>101830</v>
      </c>
      <c r="K27" s="38">
        <f>'Czech Republic'!K$9+Germany!K$17+Poland!K$15</f>
        <v>80499</v>
      </c>
      <c r="L27" s="38">
        <f>'Czech Republic'!L$9+Germany!L$17+Poland!L$15</f>
        <v>172698</v>
      </c>
      <c r="M27" s="38">
        <f>'Czech Republic'!M$9+Germany!M$17+Poland!M$15</f>
        <v>101287</v>
      </c>
      <c r="N27" s="38">
        <f>'Czech Republic'!N$9+Germany!N$17+Poland!N$15</f>
        <v>148602</v>
      </c>
      <c r="O27" s="38">
        <f>'Czech Republic'!O$9+Germany!O$17+Poland!O$15</f>
        <v>153743</v>
      </c>
      <c r="P27" s="38">
        <f>'Czech Republic'!P$9+Germany!P$17+Poland!P$15</f>
        <v>142864</v>
      </c>
      <c r="Q27" s="38">
        <f>'Czech Republic'!Q$9+Germany!Q$17+Poland!Q$15</f>
        <v>140633</v>
      </c>
      <c r="R27" s="38">
        <f>'Czech Republic'!R$9+Germany!R$17+Poland!R$15</f>
        <v>103108</v>
      </c>
      <c r="S27" s="38">
        <f>'Czech Republic'!S$9+Germany!S$17+Poland!S$15</f>
        <v>107666</v>
      </c>
      <c r="T27" s="38">
        <f>'Czech Republic'!T$9+Germany!T$17+Poland!T$15</f>
        <v>61488</v>
      </c>
      <c r="U27" s="38">
        <f>'Czech Republic'!U$9+Germany!U$17+Poland!U$15</f>
        <v>47190</v>
      </c>
      <c r="V27" s="68">
        <f>'Czech Republic'!V$9+Germany!V$17+Poland!V$15</f>
        <v>62308</v>
      </c>
    </row>
    <row r="28" spans="1:108" x14ac:dyDescent="0.25">
      <c r="A28" s="40" t="s">
        <v>21</v>
      </c>
      <c r="B28" s="47" t="str">
        <f t="shared" si="0"/>
        <v/>
      </c>
      <c r="C28" s="79">
        <v>0</v>
      </c>
      <c r="D28" s="38">
        <v>0</v>
      </c>
      <c r="E28" s="43">
        <f>Italy!E$18</f>
        <v>0</v>
      </c>
      <c r="F28" s="38">
        <f>Italy!F$18</f>
        <v>0</v>
      </c>
      <c r="G28" s="38">
        <f>Italy!G$18</f>
        <v>0</v>
      </c>
      <c r="H28" s="38">
        <f>Italy!H$18</f>
        <v>0</v>
      </c>
      <c r="I28" s="38">
        <f>Italy!I$18</f>
        <v>0</v>
      </c>
      <c r="J28" s="38">
        <f>Italy!J$18</f>
        <v>0</v>
      </c>
      <c r="K28" s="38">
        <f>Italy!K$18</f>
        <v>0</v>
      </c>
      <c r="L28" s="38">
        <f>Italy!L$18</f>
        <v>2824</v>
      </c>
      <c r="M28" s="38">
        <f>Italy!M$18</f>
        <v>2455</v>
      </c>
      <c r="N28" s="38">
        <f>Italy!N$18</f>
        <v>6846.7</v>
      </c>
      <c r="O28" s="38">
        <f>Italy!O$18</f>
        <v>7037.5</v>
      </c>
      <c r="P28" s="38">
        <f>Italy!P$18</f>
        <v>8240</v>
      </c>
      <c r="Q28" s="38">
        <f>Italy!Q$18</f>
        <v>5651</v>
      </c>
      <c r="R28" s="38">
        <f>Italy!R$18</f>
        <v>1863.7989424331413</v>
      </c>
      <c r="S28" s="38">
        <f>Italy!S$18</f>
        <v>6617.9698064078211</v>
      </c>
      <c r="T28" s="38">
        <f>Italy!T$18</f>
        <v>0</v>
      </c>
      <c r="U28" s="38">
        <f>Italy!U$18</f>
        <v>4649</v>
      </c>
      <c r="V28" s="68">
        <f>Italy!V$18</f>
        <v>5832</v>
      </c>
    </row>
    <row r="29" spans="1:108" x14ac:dyDescent="0.25">
      <c r="A29" s="40" t="s">
        <v>34</v>
      </c>
      <c r="B29" s="47" t="str">
        <f t="shared" si="0"/>
        <v/>
      </c>
      <c r="C29" s="79">
        <v>0</v>
      </c>
      <c r="D29" s="38">
        <v>0</v>
      </c>
      <c r="E29" s="43">
        <f>'Czech Republic'!E$10+UK!E$9+Poland!E$16+Denmark!E$17</f>
        <v>0</v>
      </c>
      <c r="F29" s="38">
        <f>'Czech Republic'!F$10+UK!F$9+Poland!F$16+Denmark!F$17</f>
        <v>0</v>
      </c>
      <c r="G29" s="38">
        <f>'Czech Republic'!G$10+UK!G$9+Poland!G$16+Denmark!G$17</f>
        <v>0</v>
      </c>
      <c r="H29" s="38">
        <f>'Czech Republic'!H$10+UK!H$9+Poland!H$16+Denmark!H$17</f>
        <v>0</v>
      </c>
      <c r="I29" s="38">
        <f>'Czech Republic'!I$10+UK!I$9+Poland!I$16+Denmark!I$17</f>
        <v>0</v>
      </c>
      <c r="J29" s="38">
        <f>'Czech Republic'!J$10+UK!J$9+Poland!J$16+Denmark!J$17</f>
        <v>384</v>
      </c>
      <c r="K29" s="38">
        <f>'Czech Republic'!K$10+UK!K$9+Poland!K$16+Denmark!K$17</f>
        <v>140</v>
      </c>
      <c r="L29" s="38">
        <f>'Czech Republic'!L$10+UK!L$9+Poland!L$16+Denmark!L$17</f>
        <v>143</v>
      </c>
      <c r="M29" s="38">
        <f>'Czech Republic'!M$10+UK!M$9+Poland!M$16+Denmark!M$17</f>
        <v>4</v>
      </c>
      <c r="N29" s="38">
        <f>'Czech Republic'!N$10+UK!N$9+Poland!N$16+Denmark!N$17</f>
        <v>15</v>
      </c>
      <c r="O29" s="38">
        <f>'Czech Republic'!O$10+UK!O$9+Poland!O$16+Denmark!O$17</f>
        <v>50</v>
      </c>
      <c r="P29" s="38">
        <f>'Czech Republic'!P$10+UK!P$9+Poland!P$16+Denmark!P$17</f>
        <v>39</v>
      </c>
      <c r="Q29" s="38">
        <f>'Czech Republic'!Q$10+UK!Q$9+Poland!Q$16+Denmark!Q$17</f>
        <v>5</v>
      </c>
      <c r="R29" s="38">
        <f>'Czech Republic'!R$10+UK!R$9+Poland!R$16+Denmark!R$17</f>
        <v>200</v>
      </c>
      <c r="S29" s="38">
        <f>'Czech Republic'!S$10+UK!S$9+Poland!S$16+Denmark!S$17</f>
        <v>11</v>
      </c>
      <c r="T29" s="38">
        <f>'Czech Republic'!T$10+UK!T$9+Poland!T$16</f>
        <v>16</v>
      </c>
      <c r="U29" s="38">
        <f>'Czech Republic'!U$10+UK!U$9+Poland!U$16</f>
        <v>2099</v>
      </c>
      <c r="V29" s="68">
        <f>'Czech Republic'!V$10+UK!V$9+Poland!V$16</f>
        <v>5023</v>
      </c>
    </row>
    <row r="30" spans="1:108" x14ac:dyDescent="0.25">
      <c r="A30" s="40" t="s">
        <v>122</v>
      </c>
      <c r="B30" s="47">
        <f t="shared" si="0"/>
        <v>0.45584100025641189</v>
      </c>
      <c r="C30" s="79">
        <v>-6213.6236792792624</v>
      </c>
      <c r="D30" s="38">
        <v>-5249.0180180180178</v>
      </c>
      <c r="E30" s="43">
        <f>Austria!E$6+Denmark!E$18+France!E$2+France!E$24+France!E$17+France!E$15+France!E$13+Switzerland!E$17+UK!E$10+Germany!E$19+Netherlands!E$6</f>
        <v>155191.68006666668</v>
      </c>
      <c r="F30" s="38">
        <f>Austria!F$6+Denmark!F$18+France!F$2+France!F$24+France!F$17+France!F$15+France!F$13+Switzerland!F$17+UK!F$10+Germany!F$19+Netherlands!F$6</f>
        <v>106599.33333333334</v>
      </c>
      <c r="G30" s="38">
        <f>Austria!G$6+Denmark!G$18+France!G$2+France!G$24+France!G$17+France!G$15+France!G$13+Switzerland!G$17+UK!G$10+Germany!G$19+Netherlands!G$6</f>
        <v>109439</v>
      </c>
      <c r="H30" s="38">
        <f>Austria!H$6+Denmark!H$18+France!H$2+France!H$24+France!H$17+France!H$15+France!H$13+Switzerland!H$17+UK!H$10+Germany!H$19+Netherlands!H$6</f>
        <v>131764.81081081083</v>
      </c>
      <c r="I30" s="38">
        <f>Austria!I$6+Denmark!I$18+France!I$2+France!I$24+France!I$17+France!I$15+France!I$13+Switzerland!I$17+UK!I$10+Germany!I$19+Netherlands!I$6</f>
        <v>125776.83783783784</v>
      </c>
      <c r="J30" s="38">
        <f>Austria!J$6+Denmark!J$18+France!J$2+France!J$24+France!J$17+France!J$15+France!J$13+Switzerland!J$17+UK!J$10+Germany!J$19+Netherlands!J$6</f>
        <v>114044.9</v>
      </c>
      <c r="K30" s="38">
        <f>Austria!K$6+Denmark!K$18+France!K$2+France!K$24+France!K$17+France!K$15+France!K$13+Switzerland!K$17+UK!K$10+Germany!K$19+Netherlands!K$6</f>
        <v>90883</v>
      </c>
      <c r="L30" s="38">
        <f>Austria!L$6+Denmark!L$18+France!L$2+France!L$24+France!L$17+France!L$15+France!L$13+Switzerland!L$17+UK!L$10+Germany!L$19+Netherlands!L$6</f>
        <v>114539.07799999999</v>
      </c>
      <c r="M30" s="38">
        <f>Austria!M$6+Denmark!M$18+France!M$2+France!M$24+France!M$17+France!M$15+France!M$13+Switzerland!M$17+UK!M$10+Germany!M$19+Netherlands!M$6</f>
        <v>72958</v>
      </c>
      <c r="N30" s="38">
        <f>Austria!N$6+Denmark!N$18+France!N$2+France!N$24+France!N$17+France!N$15+France!N$13+Switzerland!N$17+UK!N$10+Germany!N$19+Netherlands!N$6</f>
        <v>90108.489999999991</v>
      </c>
      <c r="O30" s="38">
        <f>Austria!O$6+Denmark!O$18+France!O$2+France!O$24+France!O$17+France!O$15+France!O$13+Switzerland!O$17+UK!O$10+Germany!O$19+Netherlands!O$6</f>
        <v>89200</v>
      </c>
      <c r="P30" s="38">
        <f>Austria!P$6+Denmark!P$18+France!P$2+France!P$24+France!P$17+France!P$15+France!P$13+Switzerland!P$17+UK!P$10+Germany!P$19+Netherlands!P$6</f>
        <v>95309</v>
      </c>
      <c r="Q30" s="38">
        <f>Austria!Q$6+Denmark!Q$18+France!Q$2+France!Q$24+France!Q$17+France!Q$15+France!Q$13+Switzerland!Q$17+UK!Q$10+Germany!Q$19+Netherlands!Q$6</f>
        <v>85532.27</v>
      </c>
      <c r="R30" s="38">
        <f>Austria!R$6+Denmark!R$18+France!R$2+France!R$24+France!R$17+France!R$15+France!R$13+Switzerland!R$17+UK!R$10+Germany!R$19+Netherlands!R$6</f>
        <v>45889</v>
      </c>
      <c r="S30" s="38">
        <f>Austria!S$6+Denmark!S$18+France!S$2+France!S$24+France!S$17+France!S$15+France!S$13+Switzerland!S$17+UK!S$10+Germany!S$19+Netherlands!S$6</f>
        <v>50192</v>
      </c>
      <c r="T30" s="38">
        <f>Austria!T$6+Denmark!T$18+France!T$2+France!T$24+France!T$17+France!T$15+France!T$13+Switzerland!T$17+UK!T$10+Germany!T$19+Netherlands!T$6</f>
        <v>43259</v>
      </c>
      <c r="U30" s="38">
        <f>Austria!U$6+Denmark!U$18+France!U$2+France!U$24+France!U$17+France!U$15+France!U$13+Switzerland!U$17+UK!U$10+Germany!U$19+Netherlands!U$6</f>
        <v>44407</v>
      </c>
      <c r="V30" s="68">
        <f>Austria!V$6+Denmark!V$18+France!V$2+France!V$24+France!V$17+France!V$15+France!V$13+Switzerland!V$17+UK!V$10+Germany!V$19+Netherlands!V$6</f>
        <v>3569</v>
      </c>
    </row>
    <row r="31" spans="1:108" ht="13.8" thickBot="1" x14ac:dyDescent="0.3">
      <c r="A31" s="40" t="s">
        <v>6</v>
      </c>
      <c r="B31" s="47">
        <f t="shared" si="0"/>
        <v>0.15592515226555059</v>
      </c>
      <c r="C31" s="79">
        <v>-115154.53874006541</v>
      </c>
      <c r="D31" s="38">
        <v>-94519.776465812814</v>
      </c>
      <c r="E31" s="43">
        <f>Austria!E$2+Austria!E$15+Austria!E$18+Austria!E$19+Austria!E$20+Belgium!E$9+'Czech Republic'!E$11+Denmark!E$3+Denmark!E$15+Denmark!E$12+Denmark!E$19+Germany!E$12+Germany!E$18+Germany!E$20+Italy!E$19+Spain!E$7+Switzerland!E$7+Switzerland!E$13+Switzerland!E$15+Switzerland!E$16+Switzerland!E$18+Netherlands!E$7+UK!E$11+France!E$3+France!E$7+France!E$22+France!E$23+France!E$25+Poland!E$10+Poland!E$17</f>
        <v>536145.00758602156</v>
      </c>
      <c r="F31" s="38">
        <f>Austria!F$2+Austria!F$15+Austria!F$18+Austria!F$19+Austria!F$20+Belgium!F$9+'Czech Republic'!F$11+Denmark!F$3+Denmark!F$15+Denmark!F$12+Denmark!F$19+Germany!F$12+Germany!F$18+Germany!F$20+Italy!F$19+Spain!F$7+Switzerland!F$7+Switzerland!F$13+Switzerland!F$15+Switzerland!F$16+Switzerland!F$18+Netherlands!F$7+UK!F$11+France!F$3+France!F$7+France!F$22+France!F$23+France!F$25+Poland!F$10+Poland!F$17</f>
        <v>463823.29040527099</v>
      </c>
      <c r="G31" s="38">
        <f>Austria!G$2+Austria!G$15+Austria!G$18+Austria!G$19+Austria!G$20+Belgium!G$9+'Czech Republic'!G$11+Denmark!G$3+Denmark!G$15+Denmark!G$12+Denmark!G$19+Germany!G$12+Germany!G$18+Germany!G$20+Italy!G$19+Spain!G$7+Switzerland!G$7+Switzerland!G$13+Switzerland!G$15+Switzerland!G$16+Switzerland!G$18+Netherlands!G$7+UK!G$11+France!G$3+France!G$7+France!G$22+France!G$23+France!G$25+Poland!G$10+Poland!G$17</f>
        <v>466552.9919426734</v>
      </c>
      <c r="H31" s="38">
        <f>Austria!H$2+Austria!H$15+Austria!H$18+Austria!H$19+Austria!H$20+Belgium!H$9+'Czech Republic'!H$11+Denmark!H$3+Denmark!H$15+Denmark!H$12+Denmark!H$19+Germany!H$12+Germany!H$18+Germany!H$20+Italy!H$19+Spain!H$7+Switzerland!H$7+Switzerland!H$13+Switzerland!H$15+Switzerland!H$16+Switzerland!H$18+Netherlands!H$7+UK!H$11+France!H$3+France!H$7+France!H$22+France!H$23+France!H$25+Poland!H$10+Poland!H$17</f>
        <v>437363.480528916</v>
      </c>
      <c r="I31" s="38">
        <f>Austria!I$2+Austria!I$15+Austria!I$18+Austria!I$19+Austria!I$20+Belgium!I$9+'Czech Republic'!I$11+Denmark!I$3+Denmark!I$15+Denmark!I$12+Denmark!I$19+Germany!I$12+Germany!I$18+Germany!I$20+Italy!I$19+Spain!I$7+Switzerland!I$7+Switzerland!I$13+Switzerland!I$15+Switzerland!I$16+Switzerland!I$18+Netherlands!I$7+UK!I$11+France!I$3+France!I$7+France!I$22+France!I$23+France!I$25+Poland!I$10+Poland!I$17</f>
        <v>410320.50328974135</v>
      </c>
      <c r="J31" s="38">
        <f>Austria!J$2+Austria!J$15+Austria!J$18+Austria!J$19+Austria!J$20+Belgium!J$9+'Czech Republic'!J$11+Denmark!J$3+Denmark!J$15+Denmark!J$12+Denmark!J$19+Germany!J$12+Germany!J$18+Germany!J$20+Italy!J$19+Spain!J$7+Switzerland!J$7+Switzerland!J$13+Switzerland!J$15+Switzerland!J$16+Switzerland!J$18+Netherlands!J$7+UK!J$11+France!J$3+France!J$7+France!J$22+France!J$23+France!J$25+Poland!J$10+Poland!J$17</f>
        <v>461165.75</v>
      </c>
      <c r="K31" s="38">
        <f>Austria!K$2+Austria!K$15+Austria!K$18+Austria!K$19+Austria!K$20+Belgium!K$9+'Czech Republic'!K$11+Denmark!K$3+Denmark!K$15+Denmark!K$12+Denmark!K$19+Germany!K$12+Germany!K$18+Germany!K$20+Italy!K$19+Spain!K$7+Switzerland!K$7+Switzerland!K$13+Switzerland!K$15+Switzerland!K$16+Switzerland!K$18+Netherlands!K$7+UK!K$11+France!K$3+France!K$7+France!K$22+France!K$23+France!K$25+Poland!K$10+Poland!K$17</f>
        <v>240420.72999999998</v>
      </c>
      <c r="L31" s="38">
        <f>Austria!L$2+Austria!L$15+Austria!L$18+Austria!L$19+Austria!L$20+Belgium!L$9+'Czech Republic'!L$11+Denmark!L$3+Denmark!L$15+Denmark!L$12+Denmark!L$19+Germany!L$12+Germany!L$18+Germany!L$20+Italy!L$19+Spain!L$7+Switzerland!L$7+Switzerland!L$13+Switzerland!L$15+Switzerland!L$16+Switzerland!L$18+Netherlands!L$7+UK!L$11+France!L$3+France!L$7+France!L$22+France!L$23+France!L$25+Poland!L$10+Poland!L$17</f>
        <v>498918.51799999998</v>
      </c>
      <c r="M31" s="38">
        <f>Austria!M$2+Austria!M$15+Austria!M$18+Austria!M$19+Austria!M$20+Belgium!M$9+'Czech Republic'!M$11+Denmark!M$3+Denmark!M$15+Denmark!M$12+Denmark!M$19+Germany!M$12+Germany!M$18+Germany!M$20+Italy!M$19+Spain!M$7+Switzerland!M$7+Switzerland!M$13+Switzerland!M$15+Switzerland!M$16+Switzerland!M$18+Netherlands!M$7+UK!M$11+France!M$3+France!M$7+France!M$22+France!M$23+France!M$25+Poland!M$10+Poland!M$17</f>
        <v>254517</v>
      </c>
      <c r="N31" s="38">
        <f>Austria!N$2+Austria!N$15+Austria!N$18+Austria!N$19+Austria!N$20+Belgium!N$9+'Czech Republic'!N$11+Denmark!N$3+Denmark!N$15+Denmark!N$12+Denmark!N$19+Germany!N$12+Germany!N$18+Germany!N$20+Italy!N$19+Spain!N$7+Switzerland!N$7+Switzerland!N$13+Switzerland!N$15+Switzerland!N$16+Switzerland!N$18+Netherlands!N$7+UK!N$11+France!N$3+France!N$7+France!N$22+France!N$23+France!N$25+Poland!N$10+Poland!N$17</f>
        <v>389533.22</v>
      </c>
      <c r="O31" s="38">
        <f>Austria!O$2+Austria!O$15+Austria!O$18+Austria!O$19+Austria!O$20+Belgium!O$9+'Czech Republic'!O$11+Denmark!O$3+Denmark!O$15+Denmark!O$12+Denmark!O$19+Germany!O$12+Germany!O$18+Germany!O$20+Italy!O$19+Spain!O$7+Switzerland!O$7+Switzerland!O$13+Switzerland!O$15+Switzerland!O$16+Switzerland!O$18+Netherlands!O$7+UK!O$11+France!O$3+France!O$7+France!O$22+France!O$23+France!O$25+Poland!O$10+Poland!O$17</f>
        <v>410462.22000000003</v>
      </c>
      <c r="P31" s="38">
        <f>Austria!P$2+Austria!P$15+Austria!P$18+Austria!P$19+Austria!P$20+Belgium!P$9+'Czech Republic'!P$11+Denmark!P$3+Denmark!P$15+Denmark!P$12+Denmark!P$19+Germany!P$12+Germany!P$18+Germany!P$20+Italy!P$19+Spain!P$7+Switzerland!P$7+Switzerland!P$13+Switzerland!P$15+Switzerland!P$16+Switzerland!P$18+Netherlands!P$7+UK!P$11+France!P$3+France!P$7+France!P$22+France!P$23+France!P$25+Poland!P$10+Poland!P$17</f>
        <v>377416</v>
      </c>
      <c r="Q31" s="38">
        <f>Austria!Q$2+Austria!Q$15+Austria!Q$18+Austria!Q$19+Austria!Q$20+Belgium!Q$9+'Czech Republic'!Q$11+Denmark!Q$3+Denmark!Q$15+Denmark!Q$12+Denmark!Q$19+Germany!Q$12+Germany!Q$18+Germany!Q$20+Italy!Q$19+Spain!Q$7+Switzerland!Q$7+Switzerland!Q$13+Switzerland!Q$15+Switzerland!Q$16+Switzerland!Q$18+Netherlands!Q$7+UK!Q$11+France!Q$3+France!Q$7+France!Q$22+France!Q$23+France!Q$25+Poland!Q$10+Poland!Q$17</f>
        <v>297532.48800001002</v>
      </c>
      <c r="R31" s="38">
        <f>Austria!R$2+Austria!R$16+Austria!R$18+Austria!R$19+Austria!R$20+Belgium!R$9+'Czech Republic'!R$11+Denmark!R$3+Denmark!R$15+Denmark!R$12+Denmark!R$19+Germany!R$12+Germany!R$18+Germany!R$20+Italy!R$19+Spain!R$7+Switzerland!R$7+Switzerland!R$13+Switzerland!R$15+Switzerland!R$16+Switzerland!R$18+Netherlands!R$7+UK!R$11+France!R$3+France!R$7+France!R$22+France!R$23+France!R$25+Poland!R$17</f>
        <v>211955.59782765439</v>
      </c>
      <c r="S31" s="38">
        <f>Austria!S$2+Austria!S$16+Austria!S$18+Austria!S$19+Austria!S$20+Belgium!S$9+'Czech Republic'!S$11+Denmark!S$3+Denmark!S$15+Denmark!S$12+Denmark!S$19+Germany!S$12+Germany!S$18+Germany!S$20+Italy!S$19+Spain!S$7+Switzerland!S$7+Switzerland!S$13+Switzerland!S$15+Switzerland!S$16+Switzerland!S$18+Netherlands!S$7+UK!S$11+France!S$3+France!S$7+France!S$22+France!S$23+France!S$25+Poland!S$17</f>
        <v>201311.03304024949</v>
      </c>
      <c r="T31" s="38">
        <f>Austria!T$2+Austria!T$18+Austria!T$19+Austria!T$20+Belgium!T$9+'Czech Republic'!T$11+Denmark!T$3+Denmark!T$15+Denmark!T$12+Denmark!T$19+France!T$3+France!T$7+France!T$22+France!T$25+Germany!T$12+Germany!T$18+Germany!T$20+Italy!T$18+Italy!T$19+Netherlands!T$7+Poland!T$17+Spain!T$7+Switzerland!T$7+Switzerland!T$13+Switzerland!T$15+Switzerland!T$16+Switzerland!T$18+UK!T$11</f>
        <v>156412.38906101082</v>
      </c>
      <c r="U31" s="38">
        <f>Austria!U$2+Austria!U$15+Austria!U$18+Austria!U$19+Austria!U$20+Belgium!U$9+'Czech Republic'!U$11+Denmark!U$3+Denmark!U$15+Denmark!U$12+Denmark!U$19+Germany!U$12+Germany!U$18+Germany!U$20+Italy!U$19+Spain!U$7+Switzerland!U$7+Switzerland!U$13+Switzerland!U$15+Switzerland!U$16+Switzerland!U$18+Netherlands!U$7+UK!U$11+France!U$3+France!U$7+France!U$22+France!U$25+Poland!U$17</f>
        <v>167548.49</v>
      </c>
      <c r="V31" s="68">
        <f>Austria!V$2+Austria!V$15+Austria!V$18+Austria!V$19+Austria!V$20+Belgium!V$9+'Czech Republic'!V$11+Denmark!V$3+Denmark!V$15+Denmark!V$12+Denmark!V$19+Germany!V$12+Germany!V$18+Germany!V$20+Italy!V$19+Spain!V$7+Switzerland!V$7+Switzerland!V$13+Switzerland!V$15+Switzerland!V$16+Switzerland!V$18+Netherlands!V$7+UK!V$11+Poland!V$17</f>
        <v>121547</v>
      </c>
      <c r="X31" s="3"/>
    </row>
    <row r="32" spans="1:108" ht="13.8" thickBot="1" x14ac:dyDescent="0.3">
      <c r="A32" s="39" t="s">
        <v>90</v>
      </c>
      <c r="B32" s="153">
        <f t="shared" si="0"/>
        <v>0.12530237900395993</v>
      </c>
      <c r="C32" s="74">
        <v>-739099.8741921857</v>
      </c>
      <c r="D32" s="46">
        <v>-648123.96628304152</v>
      </c>
      <c r="E32" s="45">
        <f t="shared" ref="E32:J32" si="1">SUM(E2:E31)</f>
        <v>3419767.2769302931</v>
      </c>
      <c r="F32" s="46">
        <f t="shared" si="1"/>
        <v>3038976.3149325564</v>
      </c>
      <c r="G32" s="46">
        <f t="shared" si="1"/>
        <v>3193279.8796129827</v>
      </c>
      <c r="H32" s="46">
        <f t="shared" si="1"/>
        <v>3361110.8888915842</v>
      </c>
      <c r="I32" s="46">
        <f t="shared" si="1"/>
        <v>3606978.7911057197</v>
      </c>
      <c r="J32" s="46">
        <f t="shared" si="1"/>
        <v>3364543.5635601222</v>
      </c>
      <c r="K32" s="46">
        <f t="shared" ref="K32:P32" si="2">SUM(K2:K31)</f>
        <v>3085340.2848243257</v>
      </c>
      <c r="L32" s="46">
        <f t="shared" si="2"/>
        <v>3825937.6030000011</v>
      </c>
      <c r="M32" s="46">
        <f t="shared" si="2"/>
        <v>2395634</v>
      </c>
      <c r="N32" s="46">
        <f t="shared" si="2"/>
        <v>3523072.2868012004</v>
      </c>
      <c r="O32" s="46">
        <f t="shared" si="2"/>
        <v>3694490.76813892</v>
      </c>
      <c r="P32" s="46">
        <f t="shared" si="2"/>
        <v>3708855</v>
      </c>
      <c r="Q32" s="46">
        <f t="shared" ref="Q32:V32" si="3">SUM(Q2:Q31)</f>
        <v>3340946.0155004635</v>
      </c>
      <c r="R32" s="46">
        <f t="shared" si="3"/>
        <v>2788557.4809721219</v>
      </c>
      <c r="S32" s="46">
        <f t="shared" si="3"/>
        <v>3336984.1795027992</v>
      </c>
      <c r="T32" s="46">
        <f t="shared" si="3"/>
        <v>2785720.1943927798</v>
      </c>
      <c r="U32" s="46">
        <f t="shared" si="3"/>
        <v>3040955.49</v>
      </c>
      <c r="V32" s="97">
        <f t="shared" si="3"/>
        <v>2509304.4269242929</v>
      </c>
    </row>
    <row r="33" spans="1:22" x14ac:dyDescent="0.25">
      <c r="A33" s="53" t="s">
        <v>144</v>
      </c>
    </row>
    <row r="34" spans="1:22" ht="13.8" thickBot="1" x14ac:dyDescent="0.3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s="53" customFormat="1" ht="13.8" thickBot="1" x14ac:dyDescent="0.3">
      <c r="A35" s="54" t="s">
        <v>89</v>
      </c>
      <c r="B35" s="24" t="s">
        <v>172</v>
      </c>
      <c r="C35" s="49" t="s">
        <v>179</v>
      </c>
      <c r="D35" s="83" t="s">
        <v>173</v>
      </c>
      <c r="E35" s="159">
        <v>46054</v>
      </c>
      <c r="F35" s="86">
        <v>45689</v>
      </c>
      <c r="G35" s="86">
        <v>45323</v>
      </c>
      <c r="H35" s="86">
        <v>44958</v>
      </c>
      <c r="I35" s="86">
        <v>44593</v>
      </c>
      <c r="J35" s="86">
        <v>44228</v>
      </c>
      <c r="K35" s="86">
        <v>43862</v>
      </c>
      <c r="L35" s="86">
        <v>43497</v>
      </c>
      <c r="M35" s="86">
        <v>43132</v>
      </c>
      <c r="N35" s="25">
        <v>42767</v>
      </c>
      <c r="O35" s="25">
        <v>42401</v>
      </c>
      <c r="P35" s="25">
        <v>42036</v>
      </c>
      <c r="Q35" s="25">
        <v>41671</v>
      </c>
      <c r="R35" s="25">
        <v>41306</v>
      </c>
      <c r="S35" s="25">
        <v>40940</v>
      </c>
      <c r="T35" s="25">
        <v>40575</v>
      </c>
      <c r="U35" s="25">
        <v>40210</v>
      </c>
      <c r="V35" s="26">
        <v>39845</v>
      </c>
    </row>
    <row r="36" spans="1:22" s="53" customFormat="1" x14ac:dyDescent="0.25">
      <c r="A36" s="98" t="s">
        <v>102</v>
      </c>
      <c r="B36" s="99">
        <f t="shared" ref="B36:B44" si="4">IFERROR(((E36-F36)/F36),"")</f>
        <v>-0.40554688087053159</v>
      </c>
      <c r="C36" s="141">
        <v>-9028.0902438004523</v>
      </c>
      <c r="D36" s="100">
        <v>-12786.707756032836</v>
      </c>
      <c r="E36" s="126">
        <f>Italy!E$24</f>
        <v>19299.406704454203</v>
      </c>
      <c r="F36" s="100">
        <f>Italy!F$24</f>
        <v>32465.817881007544</v>
      </c>
      <c r="G36" s="100">
        <f>Italy!G$24</f>
        <v>3485.3639403181633</v>
      </c>
      <c r="H36" s="100">
        <f>Italy!H$24</f>
        <v>37262.842530456779</v>
      </c>
      <c r="I36" s="100">
        <f>Italy!I$24</f>
        <v>0</v>
      </c>
      <c r="J36" s="100">
        <f>Italy!J$24</f>
        <v>0</v>
      </c>
      <c r="K36" s="100">
        <f>Italy!K$24</f>
        <v>0</v>
      </c>
      <c r="L36" s="100">
        <f>Italy!L$24</f>
        <v>0</v>
      </c>
      <c r="M36" s="100">
        <f>Italy!M$24</f>
        <v>0</v>
      </c>
      <c r="N36" s="38">
        <f>Italy!N$24</f>
        <v>0</v>
      </c>
      <c r="O36" s="100">
        <f>Italy!O$24</f>
        <v>0</v>
      </c>
      <c r="P36" s="100">
        <f>Italy!P$24</f>
        <v>0</v>
      </c>
      <c r="Q36" s="100">
        <f>Italy!Q$24</f>
        <v>0</v>
      </c>
      <c r="R36" s="100">
        <f>Italy!R$24</f>
        <v>0</v>
      </c>
      <c r="S36" s="100">
        <f>Italy!S$24</f>
        <v>0</v>
      </c>
      <c r="T36" s="100">
        <f>Italy!T$24</f>
        <v>0</v>
      </c>
      <c r="U36" s="100">
        <f>Italy!U$24</f>
        <v>0</v>
      </c>
      <c r="V36" s="101">
        <f>Italy!V$24</f>
        <v>0</v>
      </c>
    </row>
    <row r="37" spans="1:22" s="53" customFormat="1" x14ac:dyDescent="0.25">
      <c r="A37" s="56" t="s">
        <v>37</v>
      </c>
      <c r="B37" s="57">
        <f t="shared" si="4"/>
        <v>1.4897657397010855</v>
      </c>
      <c r="C37" s="77">
        <v>-454.12154316612987</v>
      </c>
      <c r="D37" s="59">
        <v>-293.00716884341387</v>
      </c>
      <c r="E37" s="58">
        <f>Spain!E$12</f>
        <v>1425.8784568338701</v>
      </c>
      <c r="F37" s="59">
        <f>Spain!F$12</f>
        <v>572.69583001212686</v>
      </c>
      <c r="G37" s="59">
        <f>Spain!G$12</f>
        <v>731.31307775793175</v>
      </c>
      <c r="H37" s="59">
        <f>Spain!H$12</f>
        <v>900.49523316771069</v>
      </c>
      <c r="I37" s="59">
        <f>Spain!I$12</f>
        <v>1474.2631706152256</v>
      </c>
      <c r="J37" s="59">
        <f>Spain!J$12</f>
        <v>2710.024349114055</v>
      </c>
      <c r="K37" s="59">
        <f>Spain!K$12</f>
        <v>2997.0837428028076</v>
      </c>
      <c r="L37" s="59">
        <f>Spain!L$12</f>
        <v>2374</v>
      </c>
      <c r="M37" s="59">
        <f>Spain!M$12</f>
        <v>3102</v>
      </c>
      <c r="N37" s="38">
        <f>Spain!N$12</f>
        <v>3111.9327151024918</v>
      </c>
      <c r="O37" s="59">
        <f>Spain!O$12</f>
        <v>1770.9265524239313</v>
      </c>
      <c r="P37" s="59">
        <f>Spain!P$12</f>
        <v>2541</v>
      </c>
      <c r="Q37" s="59">
        <f>Spain!Q$12</f>
        <v>5760.6791444436467</v>
      </c>
      <c r="R37" s="59">
        <f>Spain!R$12</f>
        <v>1924.3024921565961</v>
      </c>
      <c r="S37" s="59">
        <f>Spain!S$12</f>
        <v>6723</v>
      </c>
      <c r="T37" s="59">
        <f>Spain!T$12</f>
        <v>5242</v>
      </c>
      <c r="U37" s="59">
        <f>Spain!U$12</f>
        <v>4593</v>
      </c>
      <c r="V37" s="71">
        <f>Spain!V$12</f>
        <v>2698</v>
      </c>
    </row>
    <row r="38" spans="1:22" s="53" customFormat="1" x14ac:dyDescent="0.25">
      <c r="A38" s="56" t="s">
        <v>38</v>
      </c>
      <c r="B38" s="57">
        <f t="shared" si="4"/>
        <v>0.19596253079694173</v>
      </c>
      <c r="C38" s="77">
        <v>-697.9654554838753</v>
      </c>
      <c r="D38" s="59">
        <v>-447.94984403718104</v>
      </c>
      <c r="E38" s="58">
        <f>Spain!E$13</f>
        <v>2439.0345445161247</v>
      </c>
      <c r="F38" s="59">
        <f>Spain!F$13</f>
        <v>2039.3904338214086</v>
      </c>
      <c r="G38" s="59">
        <f>Spain!G$13</f>
        <v>1338.9677623677039</v>
      </c>
      <c r="H38" s="59">
        <f>Spain!H$13</f>
        <v>2508.4391177812981</v>
      </c>
      <c r="I38" s="59">
        <f>Spain!I$13</f>
        <v>1620.0155005213901</v>
      </c>
      <c r="J38" s="59">
        <f>Spain!J$13</f>
        <v>4970.6888468517564</v>
      </c>
      <c r="K38" s="59">
        <f>Spain!K$13</f>
        <v>4010.653790070754</v>
      </c>
      <c r="L38" s="59">
        <f>Spain!L$13</f>
        <v>5350</v>
      </c>
      <c r="M38" s="59">
        <f>Spain!M$13</f>
        <v>7261</v>
      </c>
      <c r="N38" s="38">
        <f>Spain!N$13</f>
        <v>7558.1259576407947</v>
      </c>
      <c r="O38" s="59">
        <f>Spain!O$13</f>
        <v>5909.934671607798</v>
      </c>
      <c r="P38" s="59">
        <f>Spain!P$13</f>
        <v>10281</v>
      </c>
      <c r="Q38" s="59">
        <f>Spain!Q$13</f>
        <v>9160.9315247463619</v>
      </c>
      <c r="R38" s="59">
        <f>Spain!R$13</f>
        <v>6549.2053527568451</v>
      </c>
      <c r="S38" s="59">
        <f>Spain!S$13</f>
        <v>11992</v>
      </c>
      <c r="T38" s="59">
        <f>Spain!T$13</f>
        <v>18326</v>
      </c>
      <c r="U38" s="59">
        <f>Spain!U$13</f>
        <v>15384</v>
      </c>
      <c r="V38" s="71">
        <f>Spain!V$13</f>
        <v>10153</v>
      </c>
    </row>
    <row r="39" spans="1:22" s="53" customFormat="1" x14ac:dyDescent="0.25">
      <c r="A39" s="56" t="s">
        <v>7</v>
      </c>
      <c r="B39" s="57">
        <f t="shared" si="4"/>
        <v>0.23589178830163474</v>
      </c>
      <c r="C39" s="77">
        <v>-115538.89819204621</v>
      </c>
      <c r="D39" s="59">
        <v>-94147.898403006955</v>
      </c>
      <c r="E39" s="58">
        <f>Belgium!E$15+Denmark!E$24+Italy!E$25+Poland!E$22+Spain!E$14+Switzerland!E$24+Netherlands!E$12+UK!E$16+'Czech Republic'!E$16+France!E$32</f>
        <v>383609.50381481188</v>
      </c>
      <c r="F39" s="59">
        <f>Belgium!F$15+Denmark!F$24+Italy!F$25+Poland!F$22+Spain!F$14+Switzerland!F$24+Netherlands!F$12+UK!F$16+'Czech Republic'!F$16+France!F$32</f>
        <v>310390.85091905086</v>
      </c>
      <c r="G39" s="59">
        <f>Belgium!G$15+Denmark!G$24+Italy!G$25+Poland!G$22+Spain!G$14+Switzerland!G$24+Netherlands!G$12+UK!G$16+'Czech Republic'!G$16+France!G$32</f>
        <v>364385.03036882984</v>
      </c>
      <c r="H39" s="59">
        <f>Belgium!H$15+Denmark!H$24+Italy!H$25+Poland!H$22+Spain!H$14+Switzerland!H$24+Netherlands!H$12+UK!H$16+'Czech Republic'!H$16+France!H$32</f>
        <v>348852.51056885102</v>
      </c>
      <c r="I39" s="59">
        <f>Belgium!I$15+Denmark!I$24+Italy!I$25+Poland!I$22+Spain!I$14+Switzerland!I$24+Netherlands!I$12+UK!I$16+'Czech Republic'!I$16+France!I$32</f>
        <v>357513.95143020834</v>
      </c>
      <c r="J39" s="59">
        <f>Belgium!J$15+Denmark!J$24+Italy!J$25+Poland!J$22+Spain!J$14+Switzerland!J$24+Netherlands!J$12+UK!J$16+'Czech Republic'!J$16+France!J$32</f>
        <v>412904.33996900602</v>
      </c>
      <c r="K39" s="59">
        <f>Belgium!K$15+Denmark!K$24+Italy!K$25+Poland!K$22+Spain!K$14+Switzerland!K$24+Netherlands!K$12+UK!K$16+'Czech Republic'!K$16+France!K$32</f>
        <v>328695.55707070086</v>
      </c>
      <c r="L39" s="59">
        <f>Belgium!L$15+Denmark!L$24+Italy!L$25+Poland!L$22+Spain!L$14+Switzerland!L$24+Netherlands!L$12+UK!L$16+'Czech Republic'!L$16+France!L$32</f>
        <v>394514.85200000001</v>
      </c>
      <c r="M39" s="59"/>
      <c r="N39" s="38">
        <f>Belgium!N$15+Denmark!N$24+Italy!N$25+Poland!N$22+Spain!N$14+Switzerland!N$24+Netherlands!N$12+UK!N$16+'Czech Republic'!N$16+France!N$32</f>
        <v>344766.85503923253</v>
      </c>
      <c r="O39" s="59">
        <f>Belgium!O$15+Denmark!O$24+Italy!O$25+Poland!O$22+Spain!O$14+Switzerland!O$24+Netherlands!O$12+UK!O$16+'Czech Republic'!O$16+France!O$32</f>
        <v>384236.9243392779</v>
      </c>
      <c r="P39" s="59">
        <f>Belgium!P$15+Denmark!P$24+Italy!P$25+Poland!P$22+Spain!P$14+Switzerland!P$24+Netherlands!P$12+UK!P$16+'Czech Republic'!P$16+France!$P32</f>
        <v>353489</v>
      </c>
      <c r="Q39" s="59">
        <f>Belgium!Q$15+Denmark!Q$24+Italy!Q$25+Poland!Q$22+Spain!Q$14+Switzerland!Q$24+Netherlands!Q$12+UK!Q$16+'Czech Republic'!Q$16+France!$P32</f>
        <v>335952.01517625991</v>
      </c>
      <c r="R39" s="59">
        <f>Belgium!R$15+Denmark!R$24+Italy!R$25+Poland!R$22+Spain!R$14+Switzerland!R$24+Netherlands!R$12+UK!R$16+'Czech Republic'!R$16+France!$P32</f>
        <v>205612.93200798077</v>
      </c>
      <c r="S39" s="59">
        <f>Belgium!S$15+Denmark!S$24+Italy!S$25+Poland!S$22+Spain!S$14+Switzerland!S$24+Netherlands!S$12+UK!S$16+'Czech Republic'!S$16+France!$P32</f>
        <v>305898</v>
      </c>
      <c r="T39" s="59">
        <f>Belgium!T$15+Denmark!T$24+Italy!T$25+Poland!T$22+Spain!T$14+Switzerland!T$24+Netherlands!T$12+UK!T$16+'Czech Republic'!T$16+France!T$32</f>
        <v>276368</v>
      </c>
      <c r="U39" s="59">
        <f>Belgium!U$15+Denmark!U$24+Italy!U$25+Poland!U$22+Spain!U$14+Switzerland!U$24+Netherlands!U$12+UK!U$16+'Czech Republic'!U$16+France!U$32</f>
        <v>280431</v>
      </c>
      <c r="V39" s="71">
        <f>Belgium!V$15+Denmark!V$24+Italy!V$25+Poland!V$22+Spain!V$14+Switzerland!V$24+Netherlands!V$12+UK!V$16+'Czech Republic'!V$16</f>
        <v>157918</v>
      </c>
    </row>
    <row r="40" spans="1:22" s="53" customFormat="1" x14ac:dyDescent="0.25">
      <c r="A40" s="56" t="s">
        <v>91</v>
      </c>
      <c r="B40" s="57">
        <f t="shared" si="4"/>
        <v>0.26685478447975125</v>
      </c>
      <c r="C40" s="77">
        <v>-8379.7218244620381</v>
      </c>
      <c r="D40" s="59">
        <v>-4891.8220059385349</v>
      </c>
      <c r="E40" s="58">
        <f>Belgium!E$16+Italy!E$26+Poland!E$23+Netherlands!E$13+UK!E$17+France!E$33+Denmark!E$25</f>
        <v>4550.7358547764479</v>
      </c>
      <c r="F40" s="59">
        <f>Belgium!F$16+Italy!F$26+Poland!F$23+Netherlands!F$13+UK!F$17+France!F$33+Denmark!F$25</f>
        <v>3592.1527159446778</v>
      </c>
      <c r="G40" s="59">
        <f>Belgium!G$16+Italy!G$26+Poland!G$23+Netherlands!G$13+UK!G$17+France!G$33+Denmark!G$25</f>
        <v>3978</v>
      </c>
      <c r="H40" s="59">
        <f>Belgium!H$16+Italy!H$26+Poland!H$23+Netherlands!H$13+UK!H$17+France!H$33+Denmark!H$25</f>
        <v>6350.067234709577</v>
      </c>
      <c r="I40" s="59">
        <f>Belgium!I$16+Italy!I$26+Poland!I$23+Netherlands!I$13+UK!I$17+France!I$33+Denmark!I$25</f>
        <v>3105</v>
      </c>
      <c r="J40" s="59">
        <f>Belgium!J$16+Italy!J$26+Poland!J$23+Netherlands!J$13+UK!J$17+France!J$33+Denmark!J$25</f>
        <v>9580</v>
      </c>
      <c r="K40" s="59">
        <f>Belgium!K$16+Italy!K$26+Poland!K$23+Netherlands!K$13+UK!K$17+France!K$33+Denmark!K$25</f>
        <v>5789</v>
      </c>
      <c r="L40" s="59">
        <f>Belgium!L$16+Italy!L$26+Poland!L$23+Netherlands!L$13+UK!L$17+France!L$33+Denmark!L$25</f>
        <v>11042.363000000001</v>
      </c>
      <c r="M40" s="59">
        <f>Belgium!M$16+Italy!M$26+Poland!M$23+Netherlands!M$13+UK!M$17+France!M$33+Denmark!M$25</f>
        <v>2278</v>
      </c>
      <c r="N40" s="38">
        <f>Belgium!N$16+Italy!N$26+Poland!N$23+Netherlands!N$13+UK!N$17+France!N$33+Denmark!N$25</f>
        <v>7642</v>
      </c>
      <c r="O40" s="59">
        <f>Belgium!O$16+Italy!O$26+Poland!O$23+Netherlands!O$13+UK!O$17+France!O$33+Denmark!O$25</f>
        <v>9167</v>
      </c>
      <c r="P40" s="59">
        <f>Belgium!P$16+Italy!P$26+Poland!P$23+Netherlands!P$13+UK!P$17+France!P$33+Denmark!P$25</f>
        <v>7361</v>
      </c>
      <c r="Q40" s="59">
        <f>Belgium!Q$16+Italy!Q$26+Poland!Q$23+Netherlands!Q$13+UK!Q$17+France!Q$33+Denmark!Q$25</f>
        <v>9998</v>
      </c>
      <c r="R40" s="59">
        <f>Belgium!R$16+Italy!R$26+Poland!R$23+Netherlands!R$13+UK!R$17+France!R$33+Denmark!R$25</f>
        <v>1230</v>
      </c>
      <c r="S40" s="59">
        <f>Belgium!S$16+Italy!S$26+Poland!S$23+Netherlands!S$13+UK!S$17+France!S$33</f>
        <v>6148</v>
      </c>
      <c r="T40" s="59">
        <f>Belgium!T$16+Italy!T$26+Poland!T$23+Netherlands!T$13+UK!T$17+France!T$33</f>
        <v>4900</v>
      </c>
      <c r="U40" s="59">
        <f>Belgium!U$16+Italy!U$26+Poland!U$23+Netherlands!U$13+UK!U$17+France!U$33</f>
        <v>6711</v>
      </c>
      <c r="V40" s="71">
        <f>Belgium!V$16+Italy!V$26+Poland!V$23+Netherlands!V$13+UK!V$17</f>
        <v>2000</v>
      </c>
    </row>
    <row r="41" spans="1:22" s="53" customFormat="1" x14ac:dyDescent="0.25">
      <c r="A41" s="56" t="s">
        <v>29</v>
      </c>
      <c r="B41" s="57">
        <f t="shared" si="4"/>
        <v>-0.34662568668228244</v>
      </c>
      <c r="C41" s="77">
        <v>-1812.7241609723824</v>
      </c>
      <c r="D41" s="59">
        <v>-2029.0659495940672</v>
      </c>
      <c r="E41" s="58">
        <f>Italy!E$27</f>
        <v>4422.038408104414</v>
      </c>
      <c r="F41" s="59">
        <f>Italy!F$27</f>
        <v>6768.0016155671874</v>
      </c>
      <c r="G41" s="59">
        <f>Italy!G$27</f>
        <v>2075.3464673615345</v>
      </c>
      <c r="H41" s="59">
        <f>Italy!H$27</f>
        <v>6101.4817585491046</v>
      </c>
      <c r="I41" s="59">
        <f>Italy!I$27</f>
        <v>0</v>
      </c>
      <c r="J41" s="59">
        <f>Italy!J$27</f>
        <v>0</v>
      </c>
      <c r="K41" s="59">
        <f>Italy!K$27</f>
        <v>0</v>
      </c>
      <c r="L41" s="59">
        <f>Italy!L$27</f>
        <v>0</v>
      </c>
      <c r="M41" s="59">
        <f>Italy!M$27</f>
        <v>0</v>
      </c>
      <c r="N41" s="38">
        <f>Italy!N$27</f>
        <v>0</v>
      </c>
      <c r="O41" s="59">
        <f>Italy!O$27</f>
        <v>0</v>
      </c>
      <c r="P41" s="59">
        <f>Italy!P$27</f>
        <v>0</v>
      </c>
      <c r="Q41" s="59">
        <f>Italy!Q$27</f>
        <v>0</v>
      </c>
      <c r="R41" s="59">
        <f>Italy!R$27</f>
        <v>0</v>
      </c>
      <c r="S41" s="59">
        <f>Italy!S$27</f>
        <v>0</v>
      </c>
      <c r="T41" s="59">
        <f>Italy!T$27</f>
        <v>0</v>
      </c>
      <c r="U41" s="59">
        <f>Italy!U$27</f>
        <v>0</v>
      </c>
      <c r="V41" s="71">
        <f>Italy!V$27</f>
        <v>0</v>
      </c>
    </row>
    <row r="42" spans="1:22" s="53" customFormat="1" x14ac:dyDescent="0.25">
      <c r="A42" s="56" t="s">
        <v>150</v>
      </c>
      <c r="B42" s="112"/>
      <c r="C42" s="139">
        <v>0</v>
      </c>
      <c r="D42" s="121">
        <v>-62063</v>
      </c>
      <c r="E42" s="127"/>
      <c r="F42" s="121"/>
      <c r="G42" s="121"/>
      <c r="H42" s="121"/>
      <c r="I42" s="121"/>
      <c r="J42" s="121">
        <f>Portugal!I$14</f>
        <v>0</v>
      </c>
      <c r="K42" s="121">
        <f>Portugal!J$14</f>
        <v>66403</v>
      </c>
      <c r="L42" s="121">
        <f>Portugal!K$14</f>
        <v>56990</v>
      </c>
      <c r="M42" s="121"/>
      <c r="N42" s="107"/>
      <c r="O42" s="59"/>
      <c r="P42" s="59"/>
      <c r="Q42" s="59"/>
      <c r="R42" s="59"/>
      <c r="S42" s="59"/>
      <c r="T42" s="59"/>
      <c r="U42" s="59"/>
      <c r="V42" s="71"/>
    </row>
    <row r="43" spans="1:22" s="53" customFormat="1" ht="13.8" thickBot="1" x14ac:dyDescent="0.3">
      <c r="A43" s="60" t="s">
        <v>6</v>
      </c>
      <c r="B43" s="61">
        <f t="shared" si="4"/>
        <v>4.0798641509318126E-2</v>
      </c>
      <c r="C43" s="78">
        <v>-34790.479734086941</v>
      </c>
      <c r="D43" s="63">
        <v>-33559.581235730693</v>
      </c>
      <c r="E43" s="62">
        <f>Belgium!E$19+Belgium!E$17+Denmark!E$26+Germany!E$25+Italy!E$28+Poland!E$24+Spain!E$15+Spain!E$16+Switzerland!E$23+Switzerland!E$25+Switzerland!E$26+Switzerland!E$27+Netherlands!E$14+UK!E$18+'Czech Republic'!E$17+'Czech Republic'!E$18+'Czech Republic'!E$19+'Czech Republic'!E$20+France!E$31+France!E$35+France!E$36+France!E$37+France!E$30+Belgium!E18</f>
        <v>44229.467857848358</v>
      </c>
      <c r="F43" s="63">
        <f>Belgium!F$19+Belgium!F$17+Denmark!F$26+Germany!F$25+Italy!F$28+Poland!F$24+Spain!F$15+Spain!F$16+Switzerland!F$23+Switzerland!F$25+Switzerland!F$26+Switzerland!F$27+Netherlands!F$14+UK!F$18+'Czech Republic'!F$17+'Czech Republic'!F$18+'Czech Republic'!F$19+'Czech Republic'!F$20+France!F$31+France!F$35+France!F$36+France!F$37+France!F$30+Belgium!F18</f>
        <v>42495.70098756934</v>
      </c>
      <c r="G43" s="63">
        <f>Belgium!G$19+Belgium!G$17+Denmark!G$26+Germany!G$25+Italy!G$28+Poland!G$24+Spain!G$15+Spain!G$16+Switzerland!G$23+Switzerland!G$25+Switzerland!G$26+Switzerland!G$27+Netherlands!G$14+UK!G$18+'Czech Republic'!G$17+'Czech Republic'!G$18+'Czech Republic'!G$19+'Czech Republic'!G$20+France!G$31+France!G$35+France!G$36+France!G$37+France!G$30+Belgium!G18</f>
        <v>28121.614462422131</v>
      </c>
      <c r="H43" s="63">
        <f>Belgium!H$19+Belgium!H$17+Denmark!H$26+Germany!H$25+Italy!H$28+Poland!H$24+Spain!H$15+Spain!H$16+Switzerland!H$23+Switzerland!H$25+Switzerland!H$26+Switzerland!H$27+Netherlands!H$14+UK!H$18+'Czech Republic'!H$17+'Czech Republic'!H$18+'Czech Republic'!H$19+'Czech Republic'!H$20+France!H$31+France!H$35+France!H$36+France!H$37+France!H$30+Belgium!H18</f>
        <v>41400.031546343773</v>
      </c>
      <c r="I43" s="63">
        <f>Belgium!I$19+Belgium!I$17+Denmark!I$26+Germany!I$25+Italy!I$28+Poland!I$24+Spain!I$15+Spain!I$16+Switzerland!I$23+Switzerland!I$25+Switzerland!I$26+Switzerland!I$27+Netherlands!I$14+UK!I$18+'Czech Republic'!I$17+'Czech Republic'!I$18+'Czech Republic'!I$19+'Czech Republic'!I$20+France!I$31+France!I$35+France!I$36+France!I$37+France!I$30+Belgium!I18</f>
        <v>23494.003436063518</v>
      </c>
      <c r="J43" s="63">
        <f>Belgium!J$19+Belgium!J$17+Denmark!J$26+Germany!J$25+Italy!J$28+Poland!J$24+Spain!J$15+Spain!J$16+Switzerland!J$23+Switzerland!J$25+Switzerland!J$26+Switzerland!J$27+Netherlands!J$14+UK!J$18+'Czech Republic'!J$17+'Czech Republic'!J$18+'Czech Republic'!J$19+'Czech Republic'!J$20+France!J$31+France!J$35+France!J$36+France!J$37+France!J$30</f>
        <v>27542.164521632811</v>
      </c>
      <c r="K43" s="63">
        <f>Belgium!K$19+Belgium!K$17+Denmark!K$26+Germany!K$25+Italy!K$28+Poland!K$24+Spain!K$15+Spain!K$16+Switzerland!K$23+Switzerland!K$25+Switzerland!K$26+Switzerland!K$27+Netherlands!K$14+UK!K$18+'Czech Republic'!K$17+'Czech Republic'!K$18+'Czech Republic'!K$19+'Czech Republic'!K$20+France!K$31+France!K$35+France!K$36+France!K$37+France!K$30</f>
        <v>22775.649099946975</v>
      </c>
      <c r="L43" s="63">
        <f>Belgium!L$19+Belgium!L$17+Denmark!L$26+Germany!L$25+Italy!L$28+Poland!L$24+Spain!L$15+Spain!L$16+Switzerland!L$23+Switzerland!L$25+Switzerland!L$26+Switzerland!L$27+Netherlands!L$14+UK!L$18+'Czech Republic'!L$17+'Czech Republic'!L$18+'Czech Republic'!L$19+'Czech Republic'!L$20+France!L$31+France!L$35+France!L$36+France!L$37+France!L$30</f>
        <v>27248</v>
      </c>
      <c r="M43" s="63">
        <f>Belgium!M$19+Denmark!M$26+Germany!M$25+Italy!M$28+Poland!M$24+Spain!M$15+Spain!M$16+Switzerland!M$23+Switzerland!M$25+Switzerland!M$27+Netherlands!M$14+UK!M$18+'Czech Republic'!M$17+'Czech Republic'!M$18+'Czech Republic'!M$19+'Czech Republic'!M$20+France!M$31+France!M$35+France!M$36+France!M$37+France!M$30</f>
        <v>13187</v>
      </c>
      <c r="N43" s="38">
        <f>Belgium!N$19+Denmark!N$26+Germany!N$25+Italy!N$28+Poland!N$24+Spain!N$15+Spain!N$16+Switzerland!N$23+Switzerland!N$25+Switzerland!N$27+Netherlands!N$14+UK!N$18+'Czech Republic'!N$17+'Czech Republic'!N$18+'Czech Republic'!N$19+'Czech Republic'!N$20+France!N$31+France!N$35+France!N$36+France!N$37+France!N$30</f>
        <v>20443.353358472534</v>
      </c>
      <c r="O43" s="63">
        <f>Belgium!O$19+Denmark!O$26+Germany!O$25+Italy!O$28+Poland!O$24+Spain!O$15+Spain!O$16+Switzerland!O$23+Switzerland!O$25+Switzerland!O$27+Netherlands!O$14+UK!O$18+'Czech Republic'!O$17+'Czech Republic'!O$18+'Czech Republic'!O$19+'Czech Republic'!O$20+France!O$31+France!O$35+France!O$36+France!O$37+France!O$30</f>
        <v>23718.824972406936</v>
      </c>
      <c r="P43" s="63">
        <f>Belgium!P$19+Denmark!P$26+Germany!P$25+Italy!P$28+Poland!P$24+Spain!P$15+Spain!P$16+Switzerland!P$23+Switzerland!P$25+Switzerland!P$27+Netherlands!P$14+UK!P$18+'Czech Republic'!P$17+'Czech Republic'!P$18+'Czech Republic'!P$19+'Czech Republic'!P$20+France!P$31+France!P$35+France!P$36+France!P$37+France!P$30</f>
        <v>21972.720000000001</v>
      </c>
      <c r="Q43" s="63">
        <f>Belgium!Q$19+Denmark!Q$26+Germany!Q$25+Italy!Q$28+Poland!Q$24+Spain!Q$15+Spain!Q$16+Switzerland!Q$23+Switzerland!Q$25+Switzerland!Q$27+Netherlands!Q$14+UK!Q$18+'Czech Republic'!Q$17+'Czech Republic'!Q$18+'Czech Republic'!Q$19+'Czech Republic'!Q$20+France!Q$31+France!Q$35+France!Q$36+France!Q$37+France!Q$30</f>
        <v>27654.41364297496</v>
      </c>
      <c r="R43" s="63">
        <f>Belgium!R$19+Denmark!R$26+Germany!R$25+Italy!R$28+Poland!R$24+Spain!R$15+Spain!R$16+Switzerland!R$23+Switzerland!R$25+Switzerland!R$27+Netherlands!R$14+UK!R$18+'Czech Republic'!R$17+'Czech Republic'!R$18+'Czech Republic'!R$19+'Czech Republic'!R$20+France!R$31+France!R$35+France!R$36+France!R$37+France!R$30</f>
        <v>6840.5052527979624</v>
      </c>
      <c r="S43" s="63">
        <f>Belgium!S$19+Denmark!S$26+Germany!S$25+Italy!S$28+Poland!S$24+Spain!S$15+Spain!S$16+Switzerland!S$23+Switzerland!S$25+Switzerland!S$27+Netherlands!S$14+UK!S$18+'Czech Republic'!S$17+'Czech Republic'!S$20+France!S$30+France!S$31+France!S$32+France!S$35+France!S$36+France!S$37</f>
        <v>23242</v>
      </c>
      <c r="T43" s="63">
        <f>Belgium!T$19+Denmark!T$26+Germany!T$25+Italy!T$28+Poland!T$24+Spain!T$15+Spain!T$16+Switzerland!T$23+Switzerland!T$25+Switzerland!T$27+Netherlands!T$14+UK!T$18+'Czech Republic'!T$17+'Czech Republic'!T$20+France!T$30+France!T$31+France!T$34+France!T$35+France!T$36+France!T$37</f>
        <v>9895</v>
      </c>
      <c r="U43" s="63">
        <f>Belgium!U$19+Denmark!U$26+Germany!U$25+Italy!U$28+Poland!U$24+Spain!U$15+Spain!U$16+Switzerland!U$23+Switzerland!U$25+Switzerland!U$27+Netherlands!U$14+UK!U$18+'Czech Republic'!U$17+'Czech Republic'!U$20+France!U$30+France!U$31+France!U$34+France!U$35+France!U$36+France!U$37</f>
        <v>17663</v>
      </c>
      <c r="V43" s="72">
        <f>Belgium!V$19+Denmark!V$26+Germany!V$25+Italy!V$28+Poland!V$24+Spain!V$15+Spain!V$16+Switzerland!V$23+Switzerland!V$25+Switzerland!V$27+Netherlands!V$14+UK!V$18+'Czech Republic'!V$17+'Czech Republic'!V$20</f>
        <v>8462</v>
      </c>
    </row>
    <row r="44" spans="1:22" s="53" customFormat="1" ht="13.8" thickBot="1" x14ac:dyDescent="0.3">
      <c r="A44" s="64" t="s">
        <v>90</v>
      </c>
      <c r="B44" s="95">
        <f t="shared" si="4"/>
        <v>0.15477691724620446</v>
      </c>
      <c r="C44" s="142">
        <v>-170702.00115401822</v>
      </c>
      <c r="D44" s="105">
        <v>-210219.03236318374</v>
      </c>
      <c r="E44" s="45">
        <f t="shared" ref="E44:J44" si="5">SUM(E36:E43)</f>
        <v>459976.06564134522</v>
      </c>
      <c r="F44" s="105">
        <f t="shared" si="5"/>
        <v>398324.61038297316</v>
      </c>
      <c r="G44" s="105">
        <f t="shared" si="5"/>
        <v>404115.63607905735</v>
      </c>
      <c r="H44" s="105">
        <f t="shared" si="5"/>
        <v>443375.86798985925</v>
      </c>
      <c r="I44" s="105">
        <f t="shared" si="5"/>
        <v>387207.23353740847</v>
      </c>
      <c r="J44" s="105">
        <f t="shared" si="5"/>
        <v>457707.21768660465</v>
      </c>
      <c r="K44" s="105">
        <f t="shared" ref="K44:P44" si="6">SUM(K36:K43)</f>
        <v>430670.94370352139</v>
      </c>
      <c r="L44" s="105">
        <f t="shared" si="6"/>
        <v>497519.21500000003</v>
      </c>
      <c r="M44" s="105">
        <f t="shared" si="6"/>
        <v>25828</v>
      </c>
      <c r="N44" s="89">
        <f t="shared" si="6"/>
        <v>383522.26707044832</v>
      </c>
      <c r="O44" s="89">
        <f t="shared" si="6"/>
        <v>424803.61053571658</v>
      </c>
      <c r="P44" s="89">
        <f t="shared" si="6"/>
        <v>395644.72</v>
      </c>
      <c r="Q44" s="89">
        <f t="shared" ref="Q44:V44" si="7">SUM(Q36:Q43)</f>
        <v>388526.0394884249</v>
      </c>
      <c r="R44" s="89">
        <f t="shared" si="7"/>
        <v>222156.94510569217</v>
      </c>
      <c r="S44" s="89">
        <f t="shared" si="7"/>
        <v>354003</v>
      </c>
      <c r="T44" s="89">
        <f t="shared" si="7"/>
        <v>314731</v>
      </c>
      <c r="U44" s="89">
        <f t="shared" si="7"/>
        <v>324782</v>
      </c>
      <c r="V44" s="90">
        <f t="shared" si="7"/>
        <v>181231</v>
      </c>
    </row>
    <row r="45" spans="1:22" s="53" customFormat="1" x14ac:dyDescent="0.25">
      <c r="B45" s="3" t="s">
        <v>175</v>
      </c>
    </row>
    <row r="46" spans="1:22" s="53" customFormat="1" x14ac:dyDescent="0.25">
      <c r="F46" s="1"/>
      <c r="G46" s="1">
        <f>G32+H32-'Europe - country'!G16-'Europe - country'!H16</f>
        <v>0</v>
      </c>
      <c r="H46" s="1">
        <f>G32+H32-'Europe - country'!G16-'Europe - country'!H16</f>
        <v>0</v>
      </c>
    </row>
    <row r="47" spans="1:22" s="53" customFormat="1" x14ac:dyDescent="0.25">
      <c r="D47" s="59"/>
      <c r="E47" s="59"/>
      <c r="F47" s="1"/>
      <c r="G47" s="1">
        <f>G44+H44-'Europe - country'!G33-'Europe - country'!H33</f>
        <v>0</v>
      </c>
      <c r="H47" s="1"/>
    </row>
  </sheetData>
  <phoneticPr fontId="2" type="noConversion"/>
  <conditionalFormatting sqref="E1">
    <cfRule type="expression" dxfId="26" priority="3">
      <formula>ISBLANK(XFD1)=FALSE</formula>
    </cfRule>
  </conditionalFormatting>
  <conditionalFormatting sqref="E35">
    <cfRule type="expression" dxfId="25" priority="1">
      <formula>ISBLANK(XFD35)=FALSE</formula>
    </cfRule>
  </conditionalFormatting>
  <conditionalFormatting sqref="F46:H47">
    <cfRule type="cellIs" dxfId="24" priority="6" operator="notEqual">
      <formula>0</formula>
    </cfRule>
    <cfRule type="cellIs" dxfId="23" priority="7" operator="equal">
      <formula>0</formula>
    </cfRule>
  </conditionalFormatting>
  <pageMargins left="0.75" right="0.75" top="1" bottom="1" header="0.5" footer="0.5"/>
  <pageSetup paperSize="9" fitToHeight="3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38"/>
  <sheetViews>
    <sheetView zoomScaleNormal="100" workbookViewId="0"/>
  </sheetViews>
  <sheetFormatPr defaultColWidth="9.109375" defaultRowHeight="13.2" x14ac:dyDescent="0.25"/>
  <cols>
    <col min="1" max="1" width="19.6640625" customWidth="1"/>
    <col min="2" max="2" width="10.6640625" customWidth="1"/>
    <col min="3" max="3" width="11.6640625" bestFit="1" customWidth="1"/>
    <col min="4" max="4" width="11.33203125" bestFit="1" customWidth="1"/>
    <col min="5" max="12" width="11.33203125" customWidth="1"/>
    <col min="13" max="13" width="11.44140625" customWidth="1"/>
    <col min="14" max="24" width="10.109375" bestFit="1" customWidth="1"/>
  </cols>
  <sheetData>
    <row r="1" spans="1:25" ht="13.8" thickBot="1" x14ac:dyDescent="0.3">
      <c r="A1" s="39" t="s">
        <v>89</v>
      </c>
      <c r="B1" s="24" t="s">
        <v>172</v>
      </c>
      <c r="C1" s="49" t="s">
        <v>179</v>
      </c>
      <c r="D1" s="83" t="s">
        <v>173</v>
      </c>
      <c r="E1" s="159">
        <v>46054</v>
      </c>
      <c r="F1" s="86">
        <v>45689</v>
      </c>
      <c r="G1" s="86">
        <v>45323</v>
      </c>
      <c r="H1" s="86">
        <v>44958</v>
      </c>
      <c r="I1" s="86">
        <v>44593</v>
      </c>
      <c r="J1" s="86">
        <v>44228</v>
      </c>
      <c r="K1" s="86">
        <v>43862</v>
      </c>
      <c r="L1" s="86">
        <v>43497</v>
      </c>
      <c r="M1" s="86">
        <v>43132</v>
      </c>
      <c r="N1" s="25">
        <v>42767</v>
      </c>
      <c r="O1" s="25">
        <v>42401</v>
      </c>
      <c r="P1" s="25">
        <v>42036</v>
      </c>
      <c r="Q1" s="25">
        <v>41671</v>
      </c>
      <c r="R1" s="25">
        <v>41306</v>
      </c>
      <c r="S1" s="25">
        <v>40940</v>
      </c>
      <c r="T1" s="25">
        <v>40575</v>
      </c>
      <c r="U1" s="25">
        <v>40210</v>
      </c>
      <c r="V1" s="25">
        <v>39845</v>
      </c>
      <c r="W1" s="25">
        <v>39479</v>
      </c>
      <c r="X1" s="26">
        <v>39114</v>
      </c>
    </row>
    <row r="2" spans="1:25" x14ac:dyDescent="0.25">
      <c r="A2" s="20" t="s">
        <v>92</v>
      </c>
      <c r="B2" s="27">
        <f t="shared" ref="B2:B21" si="0">IFERROR(((E2-F2)/F2),"")</f>
        <v>0.49319371727748668</v>
      </c>
      <c r="C2" s="50">
        <v>-31.387387387387406</v>
      </c>
      <c r="D2" s="1">
        <v>-19.494585749845214</v>
      </c>
      <c r="E2" s="114">
        <v>122.66666666666666</v>
      </c>
      <c r="F2" s="1">
        <v>82.150537634408607</v>
      </c>
      <c r="G2" s="1">
        <v>315.39784946236563</v>
      </c>
      <c r="H2" s="1">
        <v>712.24934612031382</v>
      </c>
      <c r="I2" s="1">
        <v>348.64864864864865</v>
      </c>
      <c r="J2" s="1">
        <v>618.1</v>
      </c>
      <c r="K2" s="1">
        <v>500</v>
      </c>
      <c r="L2" s="1">
        <v>761.93</v>
      </c>
      <c r="M2" s="1">
        <v>248</v>
      </c>
      <c r="N2" s="1">
        <v>0</v>
      </c>
      <c r="O2" s="1">
        <v>945.76</v>
      </c>
      <c r="P2" s="1">
        <v>1537</v>
      </c>
      <c r="Q2" s="1">
        <v>1425.1</v>
      </c>
      <c r="R2" s="1">
        <v>1390</v>
      </c>
      <c r="S2" s="1">
        <v>1863</v>
      </c>
      <c r="T2" s="1">
        <v>2110</v>
      </c>
      <c r="U2" s="1">
        <v>1978</v>
      </c>
      <c r="V2" s="1">
        <v>3157</v>
      </c>
      <c r="W2" s="1">
        <v>2537</v>
      </c>
      <c r="X2" s="29">
        <v>2218</v>
      </c>
    </row>
    <row r="3" spans="1:25" x14ac:dyDescent="0.25">
      <c r="A3" s="20" t="s">
        <v>4</v>
      </c>
      <c r="B3" s="27">
        <f t="shared" si="0"/>
        <v>17.1875</v>
      </c>
      <c r="C3" s="50">
        <v>-25.513513513513544</v>
      </c>
      <c r="D3" s="1">
        <v>-34.072072072072068</v>
      </c>
      <c r="E3" s="114">
        <v>388</v>
      </c>
      <c r="F3" s="1">
        <v>21.333333333333336</v>
      </c>
      <c r="G3" s="1">
        <v>8</v>
      </c>
      <c r="H3" s="1">
        <v>185.13513513513513</v>
      </c>
      <c r="I3" s="1">
        <v>55.405405405405403</v>
      </c>
      <c r="J3" s="1">
        <v>0</v>
      </c>
      <c r="K3" s="1">
        <v>0</v>
      </c>
      <c r="L3" s="1">
        <v>7.49</v>
      </c>
      <c r="M3" s="1">
        <v>0</v>
      </c>
      <c r="N3" s="1">
        <v>0</v>
      </c>
      <c r="O3" s="1">
        <v>1.07</v>
      </c>
      <c r="P3" s="1">
        <v>1</v>
      </c>
      <c r="Q3" s="1">
        <v>5.35</v>
      </c>
      <c r="R3" s="1">
        <v>0</v>
      </c>
      <c r="S3" s="1">
        <v>10</v>
      </c>
      <c r="T3" s="1">
        <v>0</v>
      </c>
      <c r="U3" s="1">
        <v>1</v>
      </c>
      <c r="V3" s="1">
        <v>5</v>
      </c>
      <c r="W3" s="1"/>
      <c r="X3" s="29"/>
    </row>
    <row r="4" spans="1:25" x14ac:dyDescent="0.25">
      <c r="A4" s="20" t="s">
        <v>11</v>
      </c>
      <c r="B4" s="27">
        <f t="shared" si="0"/>
        <v>0.53191104886891127</v>
      </c>
      <c r="C4" s="50">
        <v>-121.39753357845893</v>
      </c>
      <c r="D4" s="1">
        <v>-819.95979429640101</v>
      </c>
      <c r="E4" s="114">
        <v>5833.9784946236559</v>
      </c>
      <c r="F4" s="1">
        <v>3808.3010752688169</v>
      </c>
      <c r="G4" s="1">
        <v>5281.4623655913983</v>
      </c>
      <c r="H4" s="1">
        <v>8998.9973844812557</v>
      </c>
      <c r="I4" s="1">
        <v>6272.5951758209821</v>
      </c>
      <c r="J4" s="1">
        <v>6410.25</v>
      </c>
      <c r="K4" s="1">
        <v>7623</v>
      </c>
      <c r="L4" s="1">
        <v>11164.4</v>
      </c>
      <c r="M4" s="1">
        <v>3420</v>
      </c>
      <c r="N4" s="1">
        <v>1632.26</v>
      </c>
      <c r="O4" s="1">
        <v>9710.07</v>
      </c>
      <c r="P4" s="1">
        <v>9466</v>
      </c>
      <c r="Q4" s="1">
        <v>10853.92</v>
      </c>
      <c r="R4" s="1">
        <v>7861</v>
      </c>
      <c r="S4" s="1">
        <v>12097</v>
      </c>
      <c r="T4" s="1">
        <v>11228</v>
      </c>
      <c r="U4" s="1">
        <v>13626</v>
      </c>
      <c r="V4" s="1">
        <v>9953</v>
      </c>
      <c r="W4" s="1">
        <v>7961</v>
      </c>
      <c r="X4" s="29">
        <v>6326</v>
      </c>
    </row>
    <row r="5" spans="1:25" x14ac:dyDescent="0.25">
      <c r="A5" s="20" t="s">
        <v>2</v>
      </c>
      <c r="B5" s="27">
        <f t="shared" si="0"/>
        <v>4.763990267639902</v>
      </c>
      <c r="C5" s="50">
        <v>-468.36036036036057</v>
      </c>
      <c r="D5" s="1">
        <v>-703.35135135135124</v>
      </c>
      <c r="E5" s="114">
        <v>3158.6666666666665</v>
      </c>
      <c r="F5" s="1">
        <v>548</v>
      </c>
      <c r="G5" s="1">
        <v>2260</v>
      </c>
      <c r="H5" s="1">
        <v>4187.8378378378384</v>
      </c>
      <c r="I5" s="1">
        <v>2214.864864864865</v>
      </c>
      <c r="J5" s="1">
        <v>1504.1</v>
      </c>
      <c r="K5" s="1">
        <v>1790</v>
      </c>
      <c r="L5" s="1">
        <v>4019.54</v>
      </c>
      <c r="M5" s="1">
        <v>499</v>
      </c>
      <c r="N5" s="1">
        <v>7.49</v>
      </c>
      <c r="O5" s="1">
        <v>1940.91</v>
      </c>
      <c r="P5" s="1">
        <v>2035</v>
      </c>
      <c r="Q5" s="1">
        <v>2035.03</v>
      </c>
      <c r="R5" s="1">
        <v>1785</v>
      </c>
      <c r="S5" s="1">
        <v>3468</v>
      </c>
      <c r="T5" s="1">
        <v>2670</v>
      </c>
      <c r="U5" s="1">
        <v>3325</v>
      </c>
      <c r="V5" s="1">
        <v>2730</v>
      </c>
      <c r="W5" s="1">
        <v>3418</v>
      </c>
      <c r="X5" s="29">
        <v>4096</v>
      </c>
    </row>
    <row r="6" spans="1:25" x14ac:dyDescent="0.25">
      <c r="A6" s="20" t="s">
        <v>152</v>
      </c>
      <c r="B6" s="27">
        <f t="shared" si="0"/>
        <v>0.25226358148893352</v>
      </c>
      <c r="C6" s="50">
        <v>-657.27927927927885</v>
      </c>
      <c r="D6" s="1">
        <v>-1550.0180180180178</v>
      </c>
      <c r="E6" s="114">
        <v>6638.666666666667</v>
      </c>
      <c r="F6" s="1">
        <v>5301.3333333333339</v>
      </c>
      <c r="G6" s="1">
        <v>5860</v>
      </c>
      <c r="H6" s="1">
        <v>7110.8108108108108</v>
      </c>
      <c r="I6" s="1">
        <v>4587.8378378378384</v>
      </c>
      <c r="J6" s="1">
        <v>10670.9</v>
      </c>
      <c r="K6" s="1">
        <v>7733</v>
      </c>
      <c r="L6" s="1">
        <v>8142.7</v>
      </c>
      <c r="M6" s="1">
        <v>4458</v>
      </c>
      <c r="N6" s="1">
        <v>2361.4899999999998</v>
      </c>
      <c r="O6" s="1">
        <v>5671</v>
      </c>
      <c r="P6" s="1">
        <v>4843</v>
      </c>
      <c r="Q6" s="1">
        <v>3061.27</v>
      </c>
      <c r="R6" s="1">
        <v>1838</v>
      </c>
      <c r="S6" s="1">
        <v>2178</v>
      </c>
      <c r="T6" s="1"/>
      <c r="U6" s="1"/>
      <c r="V6" s="1"/>
      <c r="W6" s="1"/>
      <c r="X6" s="29"/>
    </row>
    <row r="7" spans="1:25" x14ac:dyDescent="0.25">
      <c r="A7" s="20" t="s">
        <v>12</v>
      </c>
      <c r="B7" s="27">
        <f t="shared" si="0"/>
        <v>0.40096952908587252</v>
      </c>
      <c r="C7" s="50">
        <v>-80.780650215432615</v>
      </c>
      <c r="D7" s="1">
        <v>-84.126126126125882</v>
      </c>
      <c r="E7" s="114">
        <v>2697.3333333333335</v>
      </c>
      <c r="F7" s="1">
        <v>1925.3333333333335</v>
      </c>
      <c r="G7" s="1">
        <v>1833.3333333333333</v>
      </c>
      <c r="H7" s="1">
        <v>2346.3818657367046</v>
      </c>
      <c r="I7" s="1">
        <v>2406.7567567567567</v>
      </c>
      <c r="J7" s="1">
        <v>1628</v>
      </c>
      <c r="K7" s="1">
        <v>2103</v>
      </c>
      <c r="L7" s="1">
        <v>2861.08</v>
      </c>
      <c r="M7" s="1">
        <v>1278</v>
      </c>
      <c r="N7" s="84">
        <v>390.55</v>
      </c>
      <c r="O7" s="84">
        <v>2382.89</v>
      </c>
      <c r="P7" s="84">
        <v>2363</v>
      </c>
      <c r="Q7" s="84">
        <v>1997.5</v>
      </c>
      <c r="R7" s="84">
        <v>1644</v>
      </c>
      <c r="S7" s="84">
        <v>2601</v>
      </c>
      <c r="T7" s="84">
        <v>624</v>
      </c>
      <c r="U7" s="84">
        <v>2431</v>
      </c>
      <c r="V7" s="84">
        <v>1192</v>
      </c>
      <c r="W7" s="1"/>
      <c r="X7" s="29"/>
    </row>
    <row r="8" spans="1:25" x14ac:dyDescent="0.25">
      <c r="A8" s="20" t="s">
        <v>9</v>
      </c>
      <c r="B8" s="27">
        <f t="shared" si="0"/>
        <v>1.8789596517007798</v>
      </c>
      <c r="C8" s="50">
        <v>-3573.4969232907497</v>
      </c>
      <c r="D8" s="1">
        <v>-2690.2699038449391</v>
      </c>
      <c r="E8" s="114">
        <v>27218.365591397851</v>
      </c>
      <c r="F8" s="1">
        <v>9454.2365591397847</v>
      </c>
      <c r="G8" s="1">
        <v>20170.83870967742</v>
      </c>
      <c r="H8" s="1">
        <v>25126.823597791343</v>
      </c>
      <c r="I8" s="1">
        <v>19670.473699505957</v>
      </c>
      <c r="J8" s="1">
        <v>15617.35</v>
      </c>
      <c r="K8" s="1">
        <v>16558</v>
      </c>
      <c r="L8" s="1">
        <v>18796.79</v>
      </c>
      <c r="M8" s="1">
        <v>9441</v>
      </c>
      <c r="N8" s="1">
        <v>947.03</v>
      </c>
      <c r="O8" s="1">
        <v>19781.009999999998</v>
      </c>
      <c r="P8" s="1">
        <v>14511</v>
      </c>
      <c r="Q8" s="1">
        <v>18065</v>
      </c>
      <c r="R8" s="1">
        <v>11796</v>
      </c>
      <c r="S8" s="1">
        <v>18541</v>
      </c>
      <c r="T8" s="1">
        <v>20370</v>
      </c>
      <c r="U8" s="1">
        <v>15331</v>
      </c>
      <c r="V8" s="1">
        <v>14978</v>
      </c>
      <c r="W8" s="1">
        <v>12887</v>
      </c>
      <c r="X8" s="29">
        <v>8243</v>
      </c>
    </row>
    <row r="9" spans="1:25" x14ac:dyDescent="0.25">
      <c r="A9" s="20" t="s">
        <v>14</v>
      </c>
      <c r="B9" s="115" t="str">
        <f t="shared" si="0"/>
        <v/>
      </c>
      <c r="C9" s="136">
        <v>0</v>
      </c>
      <c r="D9" s="1">
        <v>0</v>
      </c>
      <c r="E9" s="114"/>
      <c r="F9" s="1"/>
      <c r="G9" s="1"/>
      <c r="H9" s="1"/>
      <c r="I9" s="1"/>
      <c r="J9" s="1"/>
      <c r="K9" s="1"/>
      <c r="L9" s="1"/>
      <c r="M9" s="1"/>
      <c r="N9" s="1"/>
      <c r="O9" s="1">
        <v>0</v>
      </c>
      <c r="P9" s="1"/>
      <c r="Q9" s="1"/>
      <c r="R9" s="1"/>
      <c r="S9" s="1"/>
      <c r="T9" s="1">
        <v>21</v>
      </c>
      <c r="U9" s="1">
        <v>282</v>
      </c>
      <c r="V9" s="1">
        <v>86</v>
      </c>
      <c r="W9" s="1">
        <v>13</v>
      </c>
      <c r="X9" s="29">
        <v>234</v>
      </c>
    </row>
    <row r="10" spans="1:25" x14ac:dyDescent="0.25">
      <c r="A10" s="20" t="s">
        <v>3</v>
      </c>
      <c r="B10" s="115">
        <f t="shared" si="0"/>
        <v>0.50570493560178353</v>
      </c>
      <c r="C10" s="136">
        <v>-1969.9508863702431</v>
      </c>
      <c r="D10" s="1">
        <v>-1193.1717271268444</v>
      </c>
      <c r="E10" s="114">
        <v>16919.913978494624</v>
      </c>
      <c r="F10" s="1">
        <v>11237.20430107527</v>
      </c>
      <c r="G10" s="1">
        <v>20669.806451612902</v>
      </c>
      <c r="H10" s="1">
        <v>22412.234815460619</v>
      </c>
      <c r="I10" s="1">
        <v>25518.526591107238</v>
      </c>
      <c r="J10" s="1">
        <v>28565.5</v>
      </c>
      <c r="K10" s="1">
        <v>24029</v>
      </c>
      <c r="L10" s="1">
        <v>23100.06</v>
      </c>
      <c r="M10" s="1">
        <v>20498</v>
      </c>
      <c r="N10" s="1">
        <v>16419.28</v>
      </c>
      <c r="O10" s="1">
        <v>35902.47</v>
      </c>
      <c r="P10" s="1">
        <v>44741</v>
      </c>
      <c r="Q10" s="1">
        <v>30412.43</v>
      </c>
      <c r="R10" s="1">
        <v>37574</v>
      </c>
      <c r="S10" s="1">
        <v>45546</v>
      </c>
      <c r="T10" s="1">
        <v>41990</v>
      </c>
      <c r="U10" s="1">
        <v>39134</v>
      </c>
      <c r="V10" s="1">
        <v>41923</v>
      </c>
      <c r="W10" s="1">
        <v>39975</v>
      </c>
      <c r="X10" s="29">
        <v>33351</v>
      </c>
    </row>
    <row r="11" spans="1:25" x14ac:dyDescent="0.25">
      <c r="A11" s="20" t="s">
        <v>17</v>
      </c>
      <c r="B11" s="115">
        <f t="shared" si="0"/>
        <v>5.5181818181818185</v>
      </c>
      <c r="C11" s="136">
        <v>-229.13513513513499</v>
      </c>
      <c r="D11" s="1">
        <v>-50.630630630630634</v>
      </c>
      <c r="E11" s="114">
        <v>956</v>
      </c>
      <c r="F11" s="1">
        <v>146.66666666666666</v>
      </c>
      <c r="G11" s="1">
        <v>609.89247311827955</v>
      </c>
      <c r="H11" s="1">
        <v>830.7323452484743</v>
      </c>
      <c r="I11" s="1">
        <v>586.21040395233956</v>
      </c>
      <c r="J11" s="1">
        <v>280.8</v>
      </c>
      <c r="K11" s="1">
        <v>270</v>
      </c>
      <c r="L11" s="1">
        <v>124.98</v>
      </c>
      <c r="M11" s="1">
        <v>39</v>
      </c>
      <c r="N11" s="1">
        <v>42.8</v>
      </c>
      <c r="O11" s="84">
        <v>44.94</v>
      </c>
      <c r="P11" s="84">
        <v>617</v>
      </c>
      <c r="Q11" s="84">
        <v>124.12</v>
      </c>
      <c r="R11" s="84">
        <v>32</v>
      </c>
      <c r="S11" s="84">
        <v>87</v>
      </c>
      <c r="T11" s="84">
        <v>144</v>
      </c>
      <c r="U11" s="84">
        <v>31</v>
      </c>
      <c r="V11" s="84">
        <v>18</v>
      </c>
      <c r="W11" s="1"/>
      <c r="X11" s="29"/>
    </row>
    <row r="12" spans="1:25" x14ac:dyDescent="0.25">
      <c r="A12" s="21" t="s">
        <v>10</v>
      </c>
      <c r="B12" s="115">
        <f t="shared" si="0"/>
        <v>2.3552975503008939</v>
      </c>
      <c r="C12" s="136">
        <v>1.2226855186181638</v>
      </c>
      <c r="D12" s="1">
        <v>-63.61107109914974</v>
      </c>
      <c r="E12" s="114">
        <v>2374.1075268817203</v>
      </c>
      <c r="F12" s="1">
        <v>707.56989247311822</v>
      </c>
      <c r="G12" s="1">
        <v>2568.0430107526881</v>
      </c>
      <c r="H12" s="1">
        <v>4876.4603312990412</v>
      </c>
      <c r="I12" s="1">
        <v>3723.8302818947982</v>
      </c>
      <c r="J12" s="1">
        <v>5197.7</v>
      </c>
      <c r="K12" s="1">
        <v>5597</v>
      </c>
      <c r="L12" s="1">
        <v>10170.81</v>
      </c>
      <c r="M12" s="1">
        <v>3480</v>
      </c>
      <c r="N12" s="84">
        <v>248.98</v>
      </c>
      <c r="O12" s="84">
        <v>15158.07</v>
      </c>
      <c r="P12" s="84">
        <v>13912</v>
      </c>
      <c r="Q12" s="84">
        <v>17752.75</v>
      </c>
      <c r="R12" s="84">
        <v>13076</v>
      </c>
      <c r="S12" s="84">
        <v>18703</v>
      </c>
      <c r="T12" s="84">
        <v>19862</v>
      </c>
      <c r="U12" s="84">
        <v>20921</v>
      </c>
      <c r="V12" s="84">
        <v>17696</v>
      </c>
      <c r="W12" s="1">
        <v>16807</v>
      </c>
      <c r="X12" s="29">
        <v>19520</v>
      </c>
    </row>
    <row r="13" spans="1:25" x14ac:dyDescent="0.25">
      <c r="A13" s="21" t="s">
        <v>26</v>
      </c>
      <c r="B13" s="115">
        <f t="shared" si="0"/>
        <v>1.1231092436974788</v>
      </c>
      <c r="C13" s="136">
        <v>-110.20994907951399</v>
      </c>
      <c r="D13" s="1">
        <v>-170.65451145395036</v>
      </c>
      <c r="E13" s="114">
        <v>3694.6666666666665</v>
      </c>
      <c r="F13" s="1">
        <v>1740.2150537634409</v>
      </c>
      <c r="G13" s="1">
        <v>1308.2580645161288</v>
      </c>
      <c r="H13" s="1">
        <v>3917.5530369078756</v>
      </c>
      <c r="I13" s="1">
        <v>3167.1897704155772</v>
      </c>
      <c r="J13" s="1">
        <v>2150.75</v>
      </c>
      <c r="K13" s="1">
        <v>4445</v>
      </c>
      <c r="L13" s="1">
        <v>7425.4</v>
      </c>
      <c r="M13" s="1">
        <v>2414</v>
      </c>
      <c r="N13" s="84">
        <v>644.88</v>
      </c>
      <c r="O13" s="84">
        <v>7113.86</v>
      </c>
      <c r="P13" s="84">
        <v>7882</v>
      </c>
      <c r="Q13" s="84">
        <v>7331.69</v>
      </c>
      <c r="R13" s="84">
        <v>5929</v>
      </c>
      <c r="S13" s="84">
        <v>9906</v>
      </c>
      <c r="T13" s="84">
        <v>9231</v>
      </c>
      <c r="U13" s="84">
        <v>9885</v>
      </c>
      <c r="V13" s="84">
        <v>6751</v>
      </c>
      <c r="W13" s="1">
        <v>7773</v>
      </c>
      <c r="X13" s="29">
        <v>8997</v>
      </c>
    </row>
    <row r="14" spans="1:25" x14ac:dyDescent="0.25">
      <c r="A14" s="20" t="s">
        <v>25</v>
      </c>
      <c r="B14" s="115" t="str">
        <f t="shared" si="0"/>
        <v/>
      </c>
      <c r="C14" s="136">
        <v>0</v>
      </c>
      <c r="D14" s="1">
        <v>0</v>
      </c>
      <c r="E14" s="114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/>
      <c r="M14" s="1">
        <v>0</v>
      </c>
      <c r="N14" s="84">
        <v>36.380000000000003</v>
      </c>
      <c r="O14" s="84">
        <v>2472.77</v>
      </c>
      <c r="P14" s="84">
        <v>3108</v>
      </c>
      <c r="Q14" s="84">
        <v>3165.06</v>
      </c>
      <c r="R14" s="84">
        <v>2351</v>
      </c>
      <c r="S14" s="84">
        <v>4649</v>
      </c>
      <c r="T14" s="84">
        <v>3901</v>
      </c>
      <c r="U14" s="84">
        <v>5017</v>
      </c>
      <c r="V14" s="84">
        <v>3871</v>
      </c>
      <c r="W14" s="1"/>
      <c r="X14" s="29"/>
    </row>
    <row r="15" spans="1:25" x14ac:dyDescent="0.25">
      <c r="A15" s="20" t="s">
        <v>93</v>
      </c>
      <c r="B15" s="115">
        <f t="shared" si="0"/>
        <v>3.3701663311791505</v>
      </c>
      <c r="C15" s="136">
        <v>-467.75709791137547</v>
      </c>
      <c r="D15" s="1">
        <v>-287.44101183932884</v>
      </c>
      <c r="E15" s="114">
        <v>1774.1935483870968</v>
      </c>
      <c r="F15" s="1">
        <v>405.97849462365588</v>
      </c>
      <c r="G15" s="1">
        <v>839.74193548387098</v>
      </c>
      <c r="H15" s="1">
        <v>443.24324324324323</v>
      </c>
      <c r="I15" s="1">
        <v>739.98837547224639</v>
      </c>
      <c r="J15" s="1">
        <v>278.05</v>
      </c>
      <c r="K15" s="1">
        <v>190</v>
      </c>
      <c r="L15" s="1">
        <v>82.04</v>
      </c>
      <c r="M15" s="1">
        <v>0</v>
      </c>
      <c r="N15" s="84">
        <v>0</v>
      </c>
      <c r="O15" s="84">
        <v>7.49</v>
      </c>
      <c r="P15" s="84">
        <v>6</v>
      </c>
      <c r="Q15" s="84">
        <v>22.47</v>
      </c>
      <c r="R15" s="84">
        <v>9</v>
      </c>
      <c r="S15" s="84">
        <v>34</v>
      </c>
      <c r="T15" s="84">
        <v>77</v>
      </c>
      <c r="U15" s="84">
        <v>25</v>
      </c>
      <c r="V15" s="84">
        <v>1</v>
      </c>
      <c r="W15" s="1">
        <v>53</v>
      </c>
      <c r="X15" s="29">
        <v>105</v>
      </c>
      <c r="Y15" s="1"/>
    </row>
    <row r="16" spans="1:25" x14ac:dyDescent="0.25">
      <c r="A16" s="20" t="s">
        <v>13</v>
      </c>
      <c r="B16" s="115">
        <f t="shared" si="0"/>
        <v>0.18709740386492313</v>
      </c>
      <c r="C16" s="136">
        <v>-714.94047483668692</v>
      </c>
      <c r="D16" s="1">
        <v>-396.64503493676011</v>
      </c>
      <c r="E16" s="114">
        <v>4185.1182795698933</v>
      </c>
      <c r="F16" s="1">
        <v>3525.505376344086</v>
      </c>
      <c r="G16" s="1">
        <v>4185.8924731182797</v>
      </c>
      <c r="H16" s="1">
        <v>5697.646033129904</v>
      </c>
      <c r="I16" s="1">
        <v>3847.1665213600695</v>
      </c>
      <c r="J16" s="1">
        <v>730.30000000000007</v>
      </c>
      <c r="K16" s="1">
        <v>842</v>
      </c>
      <c r="L16" s="1">
        <v>1538.74</v>
      </c>
      <c r="M16" s="1">
        <v>175</v>
      </c>
      <c r="N16" s="84">
        <v>271.35000000000002</v>
      </c>
      <c r="O16" s="84">
        <v>1321.87</v>
      </c>
      <c r="P16" s="84">
        <v>1491</v>
      </c>
      <c r="Q16" s="84">
        <v>1690.4</v>
      </c>
      <c r="R16" s="84">
        <v>1454</v>
      </c>
      <c r="S16" s="84">
        <v>1579</v>
      </c>
      <c r="T16" s="84">
        <v>2035</v>
      </c>
      <c r="U16" s="84">
        <v>2257</v>
      </c>
      <c r="V16" s="84">
        <v>1929</v>
      </c>
      <c r="W16" s="1"/>
      <c r="X16" s="29"/>
      <c r="Y16" s="1"/>
    </row>
    <row r="17" spans="1:25" x14ac:dyDescent="0.25">
      <c r="A17" s="75" t="s">
        <v>132</v>
      </c>
      <c r="B17" s="115">
        <f t="shared" si="0"/>
        <v>3.9646419286220747</v>
      </c>
      <c r="C17" s="136">
        <v>-282.59216860619381</v>
      </c>
      <c r="D17" s="1">
        <v>-140.93008857384746</v>
      </c>
      <c r="E17" s="114">
        <v>4517.2903225806449</v>
      </c>
      <c r="F17" s="1">
        <v>909.89247311827955</v>
      </c>
      <c r="G17" s="1">
        <v>1980.8602150537636</v>
      </c>
      <c r="H17" s="1">
        <v>4055.2891601278698</v>
      </c>
      <c r="I17" s="1">
        <v>1986.3993025283348</v>
      </c>
      <c r="J17" s="1">
        <v>1628.5</v>
      </c>
      <c r="K17" s="1">
        <v>1930</v>
      </c>
      <c r="L17" s="1">
        <v>1748.38</v>
      </c>
      <c r="M17" s="1">
        <v>444</v>
      </c>
      <c r="N17" s="84"/>
      <c r="O17" s="84"/>
      <c r="P17" s="84"/>
      <c r="Q17" s="84"/>
      <c r="R17" s="84"/>
      <c r="S17" s="84"/>
      <c r="T17" s="84"/>
      <c r="U17" s="84"/>
      <c r="V17" s="84"/>
      <c r="W17" s="1"/>
      <c r="X17" s="29"/>
      <c r="Y17" s="1"/>
    </row>
    <row r="18" spans="1:25" x14ac:dyDescent="0.25">
      <c r="A18" s="20" t="s">
        <v>94</v>
      </c>
      <c r="B18" s="115" t="str">
        <f t="shared" si="0"/>
        <v/>
      </c>
      <c r="C18" s="136">
        <v>0</v>
      </c>
      <c r="D18" s="1">
        <v>0</v>
      </c>
      <c r="E18" s="114"/>
      <c r="F18" s="1"/>
      <c r="G18" s="1"/>
      <c r="H18" s="1"/>
      <c r="I18" s="1"/>
      <c r="J18" s="1">
        <v>33.799999999999997</v>
      </c>
      <c r="K18" s="1">
        <v>0</v>
      </c>
      <c r="L18" s="1">
        <v>27.75</v>
      </c>
      <c r="M18" s="1">
        <v>0</v>
      </c>
      <c r="N18" s="1">
        <v>0</v>
      </c>
      <c r="O18" s="1">
        <v>8.56</v>
      </c>
      <c r="P18" s="1">
        <v>2</v>
      </c>
      <c r="Q18" s="1">
        <v>9.6300000000000008</v>
      </c>
      <c r="R18" s="1">
        <v>0</v>
      </c>
      <c r="S18" s="1">
        <v>104</v>
      </c>
      <c r="T18" s="1">
        <v>37</v>
      </c>
      <c r="U18" s="1">
        <v>187</v>
      </c>
      <c r="V18" s="1">
        <v>66</v>
      </c>
      <c r="W18" s="1">
        <v>155</v>
      </c>
      <c r="X18" s="29">
        <v>123</v>
      </c>
      <c r="Y18" s="1"/>
    </row>
    <row r="19" spans="1:25" x14ac:dyDescent="0.25">
      <c r="A19" s="20" t="s">
        <v>95</v>
      </c>
      <c r="B19" s="27">
        <f t="shared" si="0"/>
        <v>1.1126868799776441</v>
      </c>
      <c r="C19" s="50">
        <v>-266.45561831115901</v>
      </c>
      <c r="D19" s="1">
        <v>-98.182884146418473</v>
      </c>
      <c r="E19" s="114">
        <v>2601.3763440860212</v>
      </c>
      <c r="F19" s="1">
        <v>1231.3118279569892</v>
      </c>
      <c r="G19" s="1">
        <v>1073.4193548387098</v>
      </c>
      <c r="H19" s="1">
        <v>2920.5899447834931</v>
      </c>
      <c r="I19" s="1">
        <v>1740.6858471374599</v>
      </c>
      <c r="J19" s="1">
        <v>714.40000000000009</v>
      </c>
      <c r="K19" s="1">
        <v>1609</v>
      </c>
      <c r="L19" s="1">
        <v>4665.8099999999995</v>
      </c>
      <c r="M19" s="1">
        <v>421</v>
      </c>
      <c r="N19" s="1">
        <v>333</v>
      </c>
      <c r="O19" s="1">
        <v>4049.04</v>
      </c>
      <c r="P19" s="1">
        <v>3358</v>
      </c>
      <c r="Q19" s="1">
        <v>3348.11</v>
      </c>
      <c r="R19" s="1">
        <v>1294</v>
      </c>
      <c r="S19" s="1">
        <v>3707</v>
      </c>
      <c r="T19" s="1">
        <v>2412</v>
      </c>
      <c r="U19" s="1">
        <v>3842</v>
      </c>
      <c r="V19" s="1">
        <v>214</v>
      </c>
      <c r="W19" s="1"/>
      <c r="X19" s="29"/>
      <c r="Y19" s="1"/>
    </row>
    <row r="20" spans="1:25" ht="13.8" thickBot="1" x14ac:dyDescent="0.3">
      <c r="A20" s="22" t="s">
        <v>58</v>
      </c>
      <c r="B20" s="28">
        <f t="shared" si="0"/>
        <v>1.1660423362518009</v>
      </c>
      <c r="C20" s="51">
        <v>-1734.4036364555304</v>
      </c>
      <c r="D20" s="10">
        <v>-1190.4088801283751</v>
      </c>
      <c r="E20" s="114">
        <v>8406.1075268817203</v>
      </c>
      <c r="F20" s="10">
        <v>3880.8602150537636</v>
      </c>
      <c r="G20" s="10">
        <v>6220.9032258064517</v>
      </c>
      <c r="H20" s="10">
        <v>6360.8979947689622</v>
      </c>
      <c r="I20" s="10">
        <v>3228.1604184829994</v>
      </c>
      <c r="J20" s="10">
        <v>2681.65</v>
      </c>
      <c r="K20" s="10">
        <v>1615</v>
      </c>
      <c r="L20" s="10">
        <v>2115.4700000000003</v>
      </c>
      <c r="M20" s="10">
        <v>211</v>
      </c>
      <c r="N20" s="85">
        <v>304.77</v>
      </c>
      <c r="O20" s="85">
        <v>325.33</v>
      </c>
      <c r="P20" s="85">
        <v>391</v>
      </c>
      <c r="Q20" s="85">
        <v>1719.66</v>
      </c>
      <c r="R20" s="85">
        <v>306</v>
      </c>
      <c r="S20" s="85">
        <v>436</v>
      </c>
      <c r="T20" s="85">
        <v>2424</v>
      </c>
      <c r="U20" s="85">
        <v>356</v>
      </c>
      <c r="V20" s="85">
        <v>173</v>
      </c>
      <c r="W20" s="10">
        <v>9155</v>
      </c>
      <c r="X20" s="31">
        <v>7719</v>
      </c>
      <c r="Y20" s="1"/>
    </row>
    <row r="21" spans="1:25" ht="13.8" thickBot="1" x14ac:dyDescent="0.3">
      <c r="A21" s="32" t="s">
        <v>22</v>
      </c>
      <c r="B21" s="33">
        <f t="shared" si="0"/>
        <v>1.0363858473739793</v>
      </c>
      <c r="C21" s="52">
        <v>-10732.437928812375</v>
      </c>
      <c r="D21" s="34">
        <v>-9492.9676913940639</v>
      </c>
      <c r="E21" s="45">
        <f t="shared" ref="E21" si="1">SUM(E2:E20)</f>
        <v>91486.451612903242</v>
      </c>
      <c r="F21" s="34">
        <f t="shared" ref="F21:L21" si="2">SUM(F2:F20)</f>
        <v>44925.892473118278</v>
      </c>
      <c r="G21" s="34">
        <f t="shared" si="2"/>
        <v>75185.849462365586</v>
      </c>
      <c r="H21" s="34">
        <f t="shared" si="2"/>
        <v>100182.88288288287</v>
      </c>
      <c r="I21" s="34">
        <f t="shared" si="2"/>
        <v>80094.739901191497</v>
      </c>
      <c r="J21" s="34">
        <f t="shared" si="2"/>
        <v>78710.149999999994</v>
      </c>
      <c r="K21" s="34">
        <f t="shared" si="2"/>
        <v>76834</v>
      </c>
      <c r="L21" s="34">
        <f t="shared" si="2"/>
        <v>96753.37</v>
      </c>
      <c r="M21" s="34">
        <f t="shared" ref="M21:R21" si="3">SUM(M2:M20)</f>
        <v>47026</v>
      </c>
      <c r="N21" s="34">
        <f t="shared" si="3"/>
        <v>23640.26</v>
      </c>
      <c r="O21" s="34">
        <f t="shared" si="3"/>
        <v>106837.11</v>
      </c>
      <c r="P21" s="34">
        <f t="shared" si="3"/>
        <v>110264</v>
      </c>
      <c r="Q21" s="34">
        <f t="shared" si="3"/>
        <v>103019.49</v>
      </c>
      <c r="R21" s="34">
        <f t="shared" si="3"/>
        <v>88339</v>
      </c>
      <c r="S21" s="34">
        <f t="shared" ref="S21:X21" si="4">SUM(S2:S20)</f>
        <v>125509</v>
      </c>
      <c r="T21" s="34">
        <f t="shared" si="4"/>
        <v>119136</v>
      </c>
      <c r="U21" s="34">
        <f t="shared" si="4"/>
        <v>118629</v>
      </c>
      <c r="V21" s="34">
        <f t="shared" si="4"/>
        <v>104743</v>
      </c>
      <c r="W21" s="34">
        <f t="shared" si="4"/>
        <v>100734</v>
      </c>
      <c r="X21" s="35">
        <f t="shared" si="4"/>
        <v>90932</v>
      </c>
    </row>
    <row r="22" spans="1:25" x14ac:dyDescent="0.25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  <row r="23" spans="1:25" x14ac:dyDescent="0.25">
      <c r="E23" s="1"/>
    </row>
    <row r="27" spans="1:25" ht="17.399999999999999" x14ac:dyDescent="0.3">
      <c r="W27" s="5"/>
      <c r="X27" s="1"/>
      <c r="Y27" s="1"/>
    </row>
    <row r="28" spans="1:25" ht="17.399999999999999" x14ac:dyDescent="0.3">
      <c r="W28" s="5"/>
      <c r="X28" s="1"/>
      <c r="Y28" s="1"/>
    </row>
    <row r="29" spans="1:25" ht="17.399999999999999" x14ac:dyDescent="0.3">
      <c r="W29" s="5"/>
      <c r="X29" s="1"/>
      <c r="Y29" s="1"/>
    </row>
    <row r="30" spans="1:25" ht="17.399999999999999" x14ac:dyDescent="0.3">
      <c r="W30" s="5"/>
      <c r="X30" s="1"/>
      <c r="Y30" s="1"/>
    </row>
    <row r="31" spans="1:25" ht="17.399999999999999" x14ac:dyDescent="0.3">
      <c r="W31" s="5"/>
      <c r="X31" s="1"/>
      <c r="Y31" s="1"/>
    </row>
    <row r="32" spans="1:25" ht="17.399999999999999" x14ac:dyDescent="0.3">
      <c r="W32" s="5"/>
      <c r="X32" s="1"/>
      <c r="Y32" s="1"/>
    </row>
    <row r="33" spans="23:25" ht="17.399999999999999" x14ac:dyDescent="0.3">
      <c r="W33" s="5"/>
      <c r="X33" s="1"/>
      <c r="Y33" s="1"/>
    </row>
    <row r="34" spans="23:25" ht="17.399999999999999" x14ac:dyDescent="0.3">
      <c r="W34" s="5"/>
      <c r="X34" s="1"/>
      <c r="Y34" s="1"/>
    </row>
    <row r="35" spans="23:25" ht="17.399999999999999" x14ac:dyDescent="0.3">
      <c r="W35" s="5"/>
      <c r="X35" s="1"/>
      <c r="Y35" s="1"/>
    </row>
    <row r="36" spans="23:25" ht="17.399999999999999" x14ac:dyDescent="0.3">
      <c r="W36" s="5"/>
      <c r="X36" s="1"/>
      <c r="Y36" s="1"/>
    </row>
    <row r="37" spans="23:25" ht="17.399999999999999" x14ac:dyDescent="0.3">
      <c r="W37" s="6"/>
      <c r="X37" s="1"/>
      <c r="Y37" s="1"/>
    </row>
    <row r="38" spans="23:25" ht="18" x14ac:dyDescent="0.35">
      <c r="W38" s="7"/>
      <c r="X38" s="2"/>
      <c r="Y38" s="2"/>
    </row>
  </sheetData>
  <conditionalFormatting sqref="E1">
    <cfRule type="expression" dxfId="22" priority="1">
      <formula>ISBLANK(XFD1)=FALSE</formula>
    </cfRule>
  </conditionalFormatting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38"/>
  <sheetViews>
    <sheetView zoomScaleNormal="100" workbookViewId="0"/>
  </sheetViews>
  <sheetFormatPr defaultColWidth="9.109375" defaultRowHeight="13.2" x14ac:dyDescent="0.25"/>
  <cols>
    <col min="1" max="1" width="19.6640625" customWidth="1"/>
    <col min="2" max="2" width="10.6640625" customWidth="1"/>
    <col min="3" max="3" width="11.6640625" bestFit="1" customWidth="1"/>
    <col min="4" max="4" width="11.33203125" bestFit="1" customWidth="1"/>
    <col min="5" max="5" width="11.33203125" customWidth="1"/>
    <col min="6" max="12" width="11.44140625" customWidth="1"/>
    <col min="13" max="13" width="11.33203125" customWidth="1"/>
    <col min="14" max="14" width="10.33203125" customWidth="1"/>
    <col min="15" max="24" width="10.109375" bestFit="1" customWidth="1"/>
  </cols>
  <sheetData>
    <row r="1" spans="1:24" ht="13.8" thickBot="1" x14ac:dyDescent="0.3">
      <c r="A1" s="39" t="s">
        <v>89</v>
      </c>
      <c r="B1" s="24" t="s">
        <v>172</v>
      </c>
      <c r="C1" s="49" t="s">
        <v>179</v>
      </c>
      <c r="D1" s="83" t="s">
        <v>173</v>
      </c>
      <c r="E1" s="159">
        <v>46054</v>
      </c>
      <c r="F1" s="86">
        <v>45689</v>
      </c>
      <c r="G1" s="86">
        <v>45323</v>
      </c>
      <c r="H1" s="86">
        <v>44958</v>
      </c>
      <c r="I1" s="86">
        <v>44593</v>
      </c>
      <c r="J1" s="86">
        <v>44228</v>
      </c>
      <c r="K1" s="86">
        <v>43862</v>
      </c>
      <c r="L1" s="86">
        <v>43497</v>
      </c>
      <c r="M1" s="86">
        <v>43132</v>
      </c>
      <c r="N1" s="25">
        <v>42767</v>
      </c>
      <c r="O1" s="25">
        <v>42401</v>
      </c>
      <c r="P1" s="25">
        <v>42036</v>
      </c>
      <c r="Q1" s="25">
        <v>41671</v>
      </c>
      <c r="R1" s="25">
        <v>41306</v>
      </c>
      <c r="S1" s="25">
        <v>40940</v>
      </c>
      <c r="T1" s="25">
        <v>40575</v>
      </c>
      <c r="U1" s="25">
        <v>40210</v>
      </c>
      <c r="V1" s="25">
        <v>39845</v>
      </c>
      <c r="W1" s="25">
        <v>39479</v>
      </c>
      <c r="X1" s="26">
        <v>39114</v>
      </c>
    </row>
    <row r="2" spans="1:24" x14ac:dyDescent="0.25">
      <c r="A2" s="20" t="s">
        <v>4</v>
      </c>
      <c r="B2" s="27">
        <f t="shared" ref="B2:B10" si="0">IFERROR(((E2-F2)/F2),"")</f>
        <v>282.68146220138323</v>
      </c>
      <c r="C2" s="50">
        <v>-2088.4993437552798</v>
      </c>
      <c r="D2" s="1">
        <v>-1551.7724937031096</v>
      </c>
      <c r="E2" s="114">
        <v>2122.8228052121899</v>
      </c>
      <c r="F2" s="1">
        <v>7.4831213458185522</v>
      </c>
      <c r="G2" s="1">
        <v>819</v>
      </c>
      <c r="H2" s="1">
        <v>2273</v>
      </c>
      <c r="I2" s="1">
        <v>3121</v>
      </c>
      <c r="J2" s="1">
        <v>2505</v>
      </c>
      <c r="K2" s="1">
        <v>198</v>
      </c>
      <c r="L2" s="1">
        <v>4056</v>
      </c>
      <c r="M2" s="1">
        <v>11</v>
      </c>
      <c r="N2" s="1">
        <v>325</v>
      </c>
      <c r="O2" s="1">
        <v>4029</v>
      </c>
      <c r="P2" s="1">
        <v>4830</v>
      </c>
      <c r="Q2" s="1">
        <v>1418</v>
      </c>
      <c r="R2" s="1">
        <v>0</v>
      </c>
      <c r="S2" s="1">
        <v>1800</v>
      </c>
      <c r="T2" s="1">
        <v>0</v>
      </c>
      <c r="U2" s="1">
        <v>361</v>
      </c>
      <c r="V2" s="1">
        <v>2100</v>
      </c>
      <c r="W2" s="1">
        <v>5200</v>
      </c>
      <c r="X2" s="29">
        <v>4600</v>
      </c>
    </row>
    <row r="3" spans="1:24" x14ac:dyDescent="0.25">
      <c r="A3" s="20" t="s">
        <v>159</v>
      </c>
      <c r="B3" s="115" t="str">
        <f t="shared" si="0"/>
        <v/>
      </c>
      <c r="C3" s="136">
        <v>0</v>
      </c>
      <c r="D3" s="1">
        <v>0</v>
      </c>
      <c r="E3" s="114"/>
      <c r="F3" s="1"/>
      <c r="G3" s="1">
        <v>0</v>
      </c>
      <c r="H3" s="1"/>
      <c r="I3" s="1"/>
      <c r="J3" s="1"/>
      <c r="K3" s="1"/>
      <c r="L3" s="1"/>
      <c r="M3" s="1"/>
      <c r="N3" s="1"/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700</v>
      </c>
      <c r="X3" s="29">
        <v>300</v>
      </c>
    </row>
    <row r="4" spans="1:24" x14ac:dyDescent="0.25">
      <c r="A4" s="20" t="s">
        <v>2</v>
      </c>
      <c r="B4" s="115">
        <f t="shared" si="0"/>
        <v>1.2850883081203253</v>
      </c>
      <c r="C4" s="136">
        <v>-432.67745961830542</v>
      </c>
      <c r="D4" s="1">
        <v>-165.16446056922285</v>
      </c>
      <c r="E4" s="114">
        <v>881.47020580379581</v>
      </c>
      <c r="F4" s="1">
        <v>385.74885822634934</v>
      </c>
      <c r="G4" s="1">
        <v>359</v>
      </c>
      <c r="H4" s="1">
        <v>113</v>
      </c>
      <c r="I4" s="1">
        <v>809</v>
      </c>
      <c r="J4" s="1">
        <v>8</v>
      </c>
      <c r="K4" s="1">
        <v>304</v>
      </c>
      <c r="L4" s="1">
        <v>1631</v>
      </c>
      <c r="M4" s="1">
        <v>26</v>
      </c>
      <c r="N4" s="1">
        <v>37</v>
      </c>
      <c r="O4" s="1">
        <v>704</v>
      </c>
      <c r="P4" s="1">
        <v>2016</v>
      </c>
      <c r="Q4" s="1">
        <v>489</v>
      </c>
      <c r="R4" s="1">
        <v>497</v>
      </c>
      <c r="S4" s="1">
        <v>635</v>
      </c>
      <c r="T4" s="1">
        <v>180</v>
      </c>
      <c r="U4" s="1">
        <v>0</v>
      </c>
      <c r="V4" s="1">
        <v>0</v>
      </c>
      <c r="W4" s="1">
        <v>1600</v>
      </c>
      <c r="X4" s="29">
        <v>400</v>
      </c>
    </row>
    <row r="5" spans="1:24" x14ac:dyDescent="0.25">
      <c r="A5" s="20" t="s">
        <v>100</v>
      </c>
      <c r="B5" s="115" t="str">
        <f t="shared" si="0"/>
        <v/>
      </c>
      <c r="C5" s="136">
        <v>0</v>
      </c>
      <c r="D5" s="1">
        <v>0</v>
      </c>
      <c r="E5" s="114"/>
      <c r="F5" s="1"/>
      <c r="G5" s="1">
        <v>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29">
        <v>700</v>
      </c>
    </row>
    <row r="6" spans="1:24" x14ac:dyDescent="0.25">
      <c r="A6" s="20" t="s">
        <v>3</v>
      </c>
      <c r="B6" s="115">
        <f t="shared" si="0"/>
        <v>0.15008106139345279</v>
      </c>
      <c r="C6" s="136">
        <v>-2733.2630735454868</v>
      </c>
      <c r="D6" s="1">
        <v>-1744.267143043241</v>
      </c>
      <c r="E6" s="114">
        <v>7858.4766437071803</v>
      </c>
      <c r="F6" s="1">
        <v>6832.9763070663475</v>
      </c>
      <c r="G6" s="1">
        <v>10210</v>
      </c>
      <c r="H6" s="1">
        <v>4257</v>
      </c>
      <c r="I6" s="1">
        <v>7226</v>
      </c>
      <c r="J6" s="1">
        <v>6957</v>
      </c>
      <c r="K6" s="1">
        <v>15793</v>
      </c>
      <c r="L6" s="1">
        <v>11638</v>
      </c>
      <c r="M6" s="1">
        <v>8552</v>
      </c>
      <c r="N6" s="1">
        <v>11266</v>
      </c>
      <c r="O6" s="1">
        <v>17415</v>
      </c>
      <c r="P6" s="1">
        <v>14921</v>
      </c>
      <c r="Q6" s="1">
        <v>15479</v>
      </c>
      <c r="R6" s="1">
        <v>12159</v>
      </c>
      <c r="S6" s="1">
        <v>11635</v>
      </c>
      <c r="T6" s="1">
        <v>8704</v>
      </c>
      <c r="U6" s="1">
        <v>18722</v>
      </c>
      <c r="V6" s="1">
        <v>12300</v>
      </c>
      <c r="W6" s="1">
        <v>15200</v>
      </c>
      <c r="X6" s="29">
        <v>15300</v>
      </c>
    </row>
    <row r="7" spans="1:24" x14ac:dyDescent="0.25">
      <c r="A7" s="21" t="s">
        <v>26</v>
      </c>
      <c r="B7" s="27">
        <f t="shared" si="0"/>
        <v>0.45772404668662786</v>
      </c>
      <c r="C7" s="50">
        <v>-11310.615972648899</v>
      </c>
      <c r="D7" s="1">
        <v>-6660.4639099718988</v>
      </c>
      <c r="E7" s="114">
        <v>35996.871962469901</v>
      </c>
      <c r="F7" s="1">
        <v>24693.886366414779</v>
      </c>
      <c r="G7" s="1">
        <v>40323</v>
      </c>
      <c r="H7" s="1">
        <v>30946</v>
      </c>
      <c r="I7" s="1">
        <v>66241</v>
      </c>
      <c r="J7" s="1">
        <v>30936</v>
      </c>
      <c r="K7" s="1">
        <v>48958</v>
      </c>
      <c r="L7" s="1">
        <v>44726</v>
      </c>
      <c r="M7" s="1">
        <v>3153</v>
      </c>
      <c r="N7" s="84">
        <v>35693</v>
      </c>
      <c r="O7" s="84">
        <v>61002</v>
      </c>
      <c r="P7" s="84">
        <v>71845</v>
      </c>
      <c r="Q7" s="84">
        <v>42879</v>
      </c>
      <c r="R7" s="84">
        <v>38164</v>
      </c>
      <c r="S7" s="84">
        <v>40760</v>
      </c>
      <c r="T7" s="84">
        <v>49520</v>
      </c>
      <c r="U7" s="84">
        <v>74607</v>
      </c>
      <c r="V7" s="84">
        <v>99200</v>
      </c>
      <c r="W7" s="1">
        <v>79300</v>
      </c>
      <c r="X7" s="29">
        <v>99200</v>
      </c>
    </row>
    <row r="8" spans="1:24" x14ac:dyDescent="0.25">
      <c r="A8" s="20" t="s">
        <v>25</v>
      </c>
      <c r="B8" s="27">
        <f t="shared" si="0"/>
        <v>1.0773789446882911</v>
      </c>
      <c r="C8" s="50">
        <v>-1406.2992834341385</v>
      </c>
      <c r="D8" s="1">
        <v>-5124.6631161441583</v>
      </c>
      <c r="E8" s="114">
        <v>17098.302830568427</v>
      </c>
      <c r="F8" s="1">
        <v>8230.7096036992007</v>
      </c>
      <c r="G8" s="1">
        <v>10914</v>
      </c>
      <c r="H8" s="1">
        <v>13003</v>
      </c>
      <c r="I8" s="1">
        <v>21340</v>
      </c>
      <c r="J8" s="1">
        <v>11122</v>
      </c>
      <c r="K8" s="1">
        <v>31096</v>
      </c>
      <c r="L8" s="1">
        <v>34899</v>
      </c>
      <c r="M8" s="1">
        <v>943</v>
      </c>
      <c r="N8" s="84">
        <v>24615</v>
      </c>
      <c r="O8" s="84">
        <v>28715</v>
      </c>
      <c r="P8" s="84">
        <v>42619</v>
      </c>
      <c r="Q8" s="84">
        <v>20915</v>
      </c>
      <c r="R8" s="84">
        <v>24056</v>
      </c>
      <c r="S8" s="84">
        <v>28000</v>
      </c>
      <c r="T8" s="84">
        <v>21055.805331768952</v>
      </c>
      <c r="U8" s="84">
        <v>28449</v>
      </c>
      <c r="V8" s="84">
        <v>34300</v>
      </c>
      <c r="W8" s="1">
        <v>33500</v>
      </c>
      <c r="X8" s="29">
        <v>31900</v>
      </c>
    </row>
    <row r="9" spans="1:24" ht="13.8" thickBot="1" x14ac:dyDescent="0.3">
      <c r="A9" s="22" t="s">
        <v>58</v>
      </c>
      <c r="B9" s="28">
        <f t="shared" si="0"/>
        <v>0.45062680130647287</v>
      </c>
      <c r="C9" s="51">
        <v>-3837</v>
      </c>
      <c r="D9" s="10">
        <v>-6034.2783481778024</v>
      </c>
      <c r="E9" s="124">
        <v>21792</v>
      </c>
      <c r="F9" s="10">
        <v>15022.471651822198</v>
      </c>
      <c r="G9" s="10">
        <v>15096</v>
      </c>
      <c r="H9" s="10">
        <v>19527</v>
      </c>
      <c r="I9" s="10">
        <v>17095</v>
      </c>
      <c r="J9" s="10">
        <v>18374</v>
      </c>
      <c r="K9" s="10">
        <v>8916</v>
      </c>
      <c r="L9" s="10">
        <v>18968</v>
      </c>
      <c r="M9" s="10">
        <v>3294</v>
      </c>
      <c r="N9" s="85">
        <v>1536</v>
      </c>
      <c r="O9" s="85">
        <v>19229</v>
      </c>
      <c r="P9" s="85">
        <v>12775</v>
      </c>
      <c r="Q9" s="85">
        <v>9598</v>
      </c>
      <c r="R9" s="85">
        <v>6994</v>
      </c>
      <c r="S9" s="85">
        <v>14000</v>
      </c>
      <c r="T9" s="85">
        <v>12893.38906101083</v>
      </c>
      <c r="U9" s="85">
        <v>8269</v>
      </c>
      <c r="V9" s="85">
        <v>20300</v>
      </c>
      <c r="W9" s="10">
        <v>20000</v>
      </c>
      <c r="X9" s="31">
        <v>2700</v>
      </c>
    </row>
    <row r="10" spans="1:24" ht="13.8" thickBot="1" x14ac:dyDescent="0.3">
      <c r="A10" s="32" t="s">
        <v>22</v>
      </c>
      <c r="B10" s="33">
        <f t="shared" si="0"/>
        <v>0.55419345753284799</v>
      </c>
      <c r="C10" s="52">
        <v>-21808.355133002115</v>
      </c>
      <c r="D10" s="34">
        <v>-21280.609471609438</v>
      </c>
      <c r="E10" s="45">
        <f t="shared" ref="E10" si="1">SUM(E2:E9)</f>
        <v>85749.944447761489</v>
      </c>
      <c r="F10" s="34">
        <f t="shared" ref="F10:K10" si="2">SUM(F2:F9)</f>
        <v>55173.275908574695</v>
      </c>
      <c r="G10" s="34">
        <f t="shared" si="2"/>
        <v>77721</v>
      </c>
      <c r="H10" s="34">
        <f t="shared" si="2"/>
        <v>70119</v>
      </c>
      <c r="I10" s="34">
        <f t="shared" si="2"/>
        <v>115832</v>
      </c>
      <c r="J10" s="34">
        <f t="shared" si="2"/>
        <v>69902</v>
      </c>
      <c r="K10" s="34">
        <f t="shared" si="2"/>
        <v>105265</v>
      </c>
      <c r="L10" s="34">
        <v>115918</v>
      </c>
      <c r="M10" s="34">
        <f t="shared" ref="M10:S10" si="3">SUM(M2:M9)</f>
        <v>15979</v>
      </c>
      <c r="N10" s="34">
        <f t="shared" si="3"/>
        <v>73472</v>
      </c>
      <c r="O10" s="34">
        <f t="shared" si="3"/>
        <v>131094</v>
      </c>
      <c r="P10" s="34">
        <f t="shared" si="3"/>
        <v>149006</v>
      </c>
      <c r="Q10" s="34">
        <f t="shared" si="3"/>
        <v>90778</v>
      </c>
      <c r="R10" s="34">
        <f t="shared" si="3"/>
        <v>81870</v>
      </c>
      <c r="S10" s="34">
        <f t="shared" si="3"/>
        <v>96830</v>
      </c>
      <c r="T10" s="34">
        <v>92353.194392779784</v>
      </c>
      <c r="U10" s="34">
        <f>SUM(U2:U9)</f>
        <v>130408</v>
      </c>
      <c r="V10" s="34">
        <f>SUM(V2:V9)</f>
        <v>168200</v>
      </c>
      <c r="W10" s="34">
        <f>SUM(W2:W9)</f>
        <v>155500</v>
      </c>
      <c r="X10" s="35">
        <f>SUM(X2:X9)</f>
        <v>155100</v>
      </c>
    </row>
    <row r="11" spans="1:24" x14ac:dyDescent="0.25">
      <c r="A11" t="s">
        <v>101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</row>
    <row r="12" spans="1:24" x14ac:dyDescent="0.25">
      <c r="A12" s="53" t="s">
        <v>158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</row>
    <row r="13" spans="1:24" ht="13.8" thickBot="1" x14ac:dyDescent="0.3"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</row>
    <row r="14" spans="1:24" ht="13.8" thickBot="1" x14ac:dyDescent="0.3">
      <c r="A14" s="23" t="s">
        <v>24</v>
      </c>
      <c r="B14" s="24" t="s">
        <v>172</v>
      </c>
      <c r="C14" s="49" t="s">
        <v>179</v>
      </c>
      <c r="D14" s="83" t="s">
        <v>173</v>
      </c>
      <c r="E14" s="159">
        <v>46054</v>
      </c>
      <c r="F14" s="86">
        <v>45689</v>
      </c>
      <c r="G14" s="86">
        <v>45323</v>
      </c>
      <c r="H14" s="86">
        <v>44958</v>
      </c>
      <c r="I14" s="86">
        <v>44593</v>
      </c>
      <c r="J14" s="86">
        <v>44228</v>
      </c>
      <c r="K14" s="86">
        <v>43862</v>
      </c>
      <c r="L14" s="86">
        <v>43497</v>
      </c>
      <c r="M14" s="86">
        <v>43132</v>
      </c>
      <c r="N14" s="25">
        <v>42767</v>
      </c>
      <c r="O14" s="25">
        <v>42401</v>
      </c>
      <c r="P14" s="25">
        <v>42036</v>
      </c>
      <c r="Q14" s="25">
        <v>41671</v>
      </c>
      <c r="R14" s="25">
        <v>41306</v>
      </c>
      <c r="S14" s="25">
        <v>40940</v>
      </c>
      <c r="T14" s="25">
        <v>40575</v>
      </c>
      <c r="U14" s="25">
        <v>40210</v>
      </c>
      <c r="V14" s="25">
        <v>39845</v>
      </c>
      <c r="W14" s="25">
        <v>39479</v>
      </c>
      <c r="X14" s="26">
        <v>39114</v>
      </c>
    </row>
    <row r="15" spans="1:24" x14ac:dyDescent="0.25">
      <c r="A15" s="20" t="s">
        <v>7</v>
      </c>
      <c r="B15" s="27">
        <f t="shared" ref="B15:B20" si="4">IFERROR(((E15-F15)/F15),"")</f>
        <v>0.34569580851482112</v>
      </c>
      <c r="C15" s="50">
        <v>-58944.865585961001</v>
      </c>
      <c r="D15" s="1">
        <v>-42985.309400789134</v>
      </c>
      <c r="E15" s="114">
        <v>138342.81434108701</v>
      </c>
      <c r="F15" s="1">
        <v>102803.92750406887</v>
      </c>
      <c r="G15" s="1">
        <v>130040</v>
      </c>
      <c r="H15" s="1">
        <v>128263</v>
      </c>
      <c r="I15" s="1">
        <v>157144</v>
      </c>
      <c r="J15" s="1">
        <v>192076</v>
      </c>
      <c r="K15" s="1">
        <v>132357</v>
      </c>
      <c r="L15" s="1">
        <v>170366</v>
      </c>
      <c r="M15" s="1">
        <v>120489</v>
      </c>
      <c r="N15" s="1">
        <v>147720</v>
      </c>
      <c r="O15" s="1">
        <v>174000</v>
      </c>
      <c r="P15" s="1">
        <v>149562</v>
      </c>
      <c r="Q15" s="1">
        <v>115829</v>
      </c>
      <c r="R15" s="1">
        <v>86059</v>
      </c>
      <c r="S15" s="1">
        <v>91000</v>
      </c>
      <c r="T15" s="1">
        <v>98500</v>
      </c>
      <c r="U15" s="1">
        <v>93600</v>
      </c>
      <c r="V15" s="1">
        <v>39400</v>
      </c>
      <c r="W15" s="1">
        <v>91400</v>
      </c>
      <c r="X15" s="29">
        <v>101600</v>
      </c>
    </row>
    <row r="16" spans="1:24" x14ac:dyDescent="0.25">
      <c r="A16" s="20" t="s">
        <v>99</v>
      </c>
      <c r="B16" s="27">
        <f t="shared" si="4"/>
        <v>10.924538024121457</v>
      </c>
      <c r="C16" s="50">
        <v>-2369.7239590783015</v>
      </c>
      <c r="D16" s="1">
        <v>-373.56715701390408</v>
      </c>
      <c r="E16" s="114">
        <v>494.95730759725001</v>
      </c>
      <c r="F16" s="1">
        <v>41.507461890433788</v>
      </c>
      <c r="G16" s="1">
        <v>110</v>
      </c>
      <c r="H16" s="1">
        <v>716</v>
      </c>
      <c r="I16" s="1">
        <v>525</v>
      </c>
      <c r="J16" s="1">
        <v>4670</v>
      </c>
      <c r="K16" s="1">
        <v>287</v>
      </c>
      <c r="L16" s="1">
        <v>2821</v>
      </c>
      <c r="M16" s="1">
        <v>197</v>
      </c>
      <c r="N16" s="1">
        <v>1040</v>
      </c>
      <c r="O16" s="1">
        <v>2748</v>
      </c>
      <c r="P16" s="1">
        <v>3747</v>
      </c>
      <c r="Q16" s="1">
        <v>4192</v>
      </c>
      <c r="R16" s="1">
        <v>196</v>
      </c>
      <c r="S16" s="1">
        <v>900</v>
      </c>
      <c r="T16" s="1">
        <v>900</v>
      </c>
      <c r="U16" s="1">
        <v>1900</v>
      </c>
      <c r="V16" s="1">
        <v>0</v>
      </c>
      <c r="W16" s="1">
        <v>0</v>
      </c>
      <c r="X16" s="29">
        <v>1400</v>
      </c>
    </row>
    <row r="17" spans="1:25" x14ac:dyDescent="0.25">
      <c r="A17" s="40" t="s">
        <v>160</v>
      </c>
      <c r="B17" s="27" t="str">
        <f t="shared" si="4"/>
        <v/>
      </c>
      <c r="C17" s="50">
        <v>0</v>
      </c>
      <c r="D17" s="1">
        <v>0</v>
      </c>
      <c r="E17" s="114">
        <v>0</v>
      </c>
      <c r="F17" s="1">
        <v>0</v>
      </c>
      <c r="G17" s="1">
        <v>0</v>
      </c>
      <c r="H17" s="1">
        <v>0</v>
      </c>
      <c r="I17" s="1">
        <v>0</v>
      </c>
      <c r="J17" s="1">
        <v>193</v>
      </c>
      <c r="K17" s="1">
        <v>0</v>
      </c>
      <c r="L17" s="1">
        <v>18</v>
      </c>
      <c r="M17" s="1">
        <v>0</v>
      </c>
      <c r="N17" s="1">
        <v>0</v>
      </c>
      <c r="O17" s="1">
        <v>0</v>
      </c>
      <c r="P17" s="1"/>
      <c r="Q17" s="1"/>
      <c r="R17" s="1"/>
      <c r="S17" s="1"/>
      <c r="T17" s="1"/>
      <c r="U17" s="1"/>
      <c r="V17" s="1"/>
      <c r="W17" s="1"/>
      <c r="X17" s="29"/>
    </row>
    <row r="18" spans="1:25" s="53" customFormat="1" x14ac:dyDescent="0.25">
      <c r="A18" s="40" t="s">
        <v>168</v>
      </c>
      <c r="B18" s="154">
        <f t="shared" si="4"/>
        <v>-0.46399087502636266</v>
      </c>
      <c r="C18" s="155">
        <v>-1606</v>
      </c>
      <c r="D18" s="59">
        <v>-315.84778954206024</v>
      </c>
      <c r="E18" s="58">
        <v>232</v>
      </c>
      <c r="F18" s="59">
        <v>432.82845233541593</v>
      </c>
      <c r="G18" s="59">
        <v>0</v>
      </c>
      <c r="H18" s="59">
        <v>1273</v>
      </c>
      <c r="I18" s="59">
        <v>1463</v>
      </c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71"/>
    </row>
    <row r="19" spans="1:25" ht="13.8" thickBot="1" x14ac:dyDescent="0.3">
      <c r="A19" s="30" t="s">
        <v>6</v>
      </c>
      <c r="B19" s="28">
        <f t="shared" si="4"/>
        <v>0.32841140013717107</v>
      </c>
      <c r="C19" s="51">
        <v>79.051331746347444</v>
      </c>
      <c r="D19" s="10">
        <v>-533.69950035683632</v>
      </c>
      <c r="E19" s="124">
        <v>468</v>
      </c>
      <c r="F19" s="10">
        <v>352.30049964316368</v>
      </c>
      <c r="G19" s="10">
        <v>503</v>
      </c>
      <c r="H19" s="10">
        <v>1849</v>
      </c>
      <c r="I19" s="10">
        <v>752</v>
      </c>
      <c r="J19" s="10">
        <v>1178</v>
      </c>
      <c r="K19" s="10">
        <v>925</v>
      </c>
      <c r="L19" s="10">
        <v>2012</v>
      </c>
      <c r="M19" s="10">
        <v>511</v>
      </c>
      <c r="N19" s="10">
        <v>914</v>
      </c>
      <c r="O19" s="10">
        <v>863</v>
      </c>
      <c r="P19" s="10">
        <v>2419</v>
      </c>
      <c r="Q19" s="10">
        <v>1682</v>
      </c>
      <c r="R19" s="10">
        <v>0</v>
      </c>
      <c r="S19" s="10">
        <v>240</v>
      </c>
      <c r="T19" s="10">
        <v>400</v>
      </c>
      <c r="U19" s="10">
        <v>0</v>
      </c>
      <c r="V19" s="10">
        <v>0</v>
      </c>
      <c r="W19" s="10">
        <v>1150</v>
      </c>
      <c r="X19" s="31">
        <v>1200</v>
      </c>
    </row>
    <row r="20" spans="1:25" ht="13.8" thickBot="1" x14ac:dyDescent="0.3">
      <c r="A20" s="32" t="s">
        <v>22</v>
      </c>
      <c r="B20" s="33">
        <f t="shared" si="4"/>
        <v>0.34649244752909253</v>
      </c>
      <c r="C20" s="52">
        <v>-62841.538213292981</v>
      </c>
      <c r="D20" s="34">
        <v>-44208.423847701924</v>
      </c>
      <c r="E20" s="45">
        <f t="shared" ref="E20" si="5">SUM(E15:E19)</f>
        <v>139537.77164868425</v>
      </c>
      <c r="F20" s="34">
        <f t="shared" ref="F20:L20" si="6">SUM(F15:F19)</f>
        <v>103630.56391793789</v>
      </c>
      <c r="G20" s="34">
        <f t="shared" si="6"/>
        <v>130653</v>
      </c>
      <c r="H20" s="34">
        <f t="shared" si="6"/>
        <v>132101</v>
      </c>
      <c r="I20" s="34">
        <f t="shared" si="6"/>
        <v>159884</v>
      </c>
      <c r="J20" s="34">
        <f t="shared" si="6"/>
        <v>198117</v>
      </c>
      <c r="K20" s="34">
        <f t="shared" si="6"/>
        <v>133569</v>
      </c>
      <c r="L20" s="34">
        <f t="shared" si="6"/>
        <v>175217</v>
      </c>
      <c r="M20" s="34">
        <f t="shared" ref="M20:R20" si="7">SUM(M15:M19)</f>
        <v>121197</v>
      </c>
      <c r="N20" s="34">
        <f t="shared" si="7"/>
        <v>149674</v>
      </c>
      <c r="O20" s="34">
        <f t="shared" si="7"/>
        <v>177611</v>
      </c>
      <c r="P20" s="34">
        <f t="shared" si="7"/>
        <v>155728</v>
      </c>
      <c r="Q20" s="34">
        <f t="shared" si="7"/>
        <v>121703</v>
      </c>
      <c r="R20" s="34">
        <f t="shared" si="7"/>
        <v>86255</v>
      </c>
      <c r="S20" s="34">
        <f t="shared" ref="S20:X20" si="8">SUM(S15:S19)</f>
        <v>92140</v>
      </c>
      <c r="T20" s="34">
        <v>99800</v>
      </c>
      <c r="U20" s="34">
        <f t="shared" si="8"/>
        <v>95500</v>
      </c>
      <c r="V20" s="34">
        <f t="shared" si="8"/>
        <v>39400</v>
      </c>
      <c r="W20" s="34">
        <f t="shared" si="8"/>
        <v>92550</v>
      </c>
      <c r="X20" s="35">
        <f t="shared" si="8"/>
        <v>104200</v>
      </c>
    </row>
    <row r="27" spans="1:25" ht="17.399999999999999" x14ac:dyDescent="0.3">
      <c r="W27" s="5"/>
      <c r="X27" s="1"/>
      <c r="Y27" s="1"/>
    </row>
    <row r="28" spans="1:25" ht="17.399999999999999" x14ac:dyDescent="0.3">
      <c r="W28" s="5"/>
      <c r="X28" s="1"/>
      <c r="Y28" s="1"/>
    </row>
    <row r="29" spans="1:25" ht="17.399999999999999" x14ac:dyDescent="0.3">
      <c r="W29" s="5"/>
      <c r="X29" s="1"/>
      <c r="Y29" s="1"/>
    </row>
    <row r="30" spans="1:25" ht="17.399999999999999" x14ac:dyDescent="0.3">
      <c r="W30" s="5"/>
      <c r="X30" s="1"/>
      <c r="Y30" s="1"/>
    </row>
    <row r="31" spans="1:25" ht="17.399999999999999" x14ac:dyDescent="0.3">
      <c r="W31" s="5"/>
      <c r="X31" s="1"/>
      <c r="Y31" s="1"/>
    </row>
    <row r="32" spans="1:25" ht="17.399999999999999" x14ac:dyDescent="0.3">
      <c r="W32" s="5"/>
      <c r="X32" s="1"/>
      <c r="Y32" s="1"/>
    </row>
    <row r="33" spans="23:25" ht="17.399999999999999" x14ac:dyDescent="0.3">
      <c r="W33" s="5"/>
      <c r="X33" s="1"/>
      <c r="Y33" s="1"/>
    </row>
    <row r="34" spans="23:25" ht="17.399999999999999" x14ac:dyDescent="0.3">
      <c r="W34" s="5"/>
      <c r="X34" s="1"/>
      <c r="Y34" s="1"/>
    </row>
    <row r="35" spans="23:25" ht="17.399999999999999" x14ac:dyDescent="0.3">
      <c r="W35" s="5"/>
      <c r="X35" s="1"/>
      <c r="Y35" s="1"/>
    </row>
    <row r="36" spans="23:25" ht="17.399999999999999" x14ac:dyDescent="0.3">
      <c r="W36" s="5"/>
      <c r="X36" s="1"/>
      <c r="Y36" s="1"/>
    </row>
    <row r="37" spans="23:25" ht="17.399999999999999" x14ac:dyDescent="0.3">
      <c r="W37" s="6"/>
      <c r="X37" s="1"/>
      <c r="Y37" s="1"/>
    </row>
    <row r="38" spans="23:25" ht="18" x14ac:dyDescent="0.35">
      <c r="W38" s="7"/>
      <c r="X38" s="2"/>
      <c r="Y38" s="2"/>
    </row>
  </sheetData>
  <conditionalFormatting sqref="E1">
    <cfRule type="expression" dxfId="21" priority="3">
      <formula>ISBLANK(XFD1)=FALSE</formula>
    </cfRule>
  </conditionalFormatting>
  <conditionalFormatting sqref="E14">
    <cfRule type="expression" dxfId="20" priority="1">
      <formula>ISBLANK(XFD14)=FALSE</formula>
    </cfRule>
  </conditionalFormatting>
  <pageMargins left="0.75" right="0.75" top="1" bottom="1" header="0.5" footer="0.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22"/>
  <sheetViews>
    <sheetView zoomScaleNormal="100" workbookViewId="0"/>
  </sheetViews>
  <sheetFormatPr defaultColWidth="9.109375" defaultRowHeight="13.2" x14ac:dyDescent="0.25"/>
  <cols>
    <col min="1" max="1" width="19.109375" customWidth="1"/>
    <col min="2" max="2" width="10.6640625" customWidth="1"/>
    <col min="3" max="3" width="11.6640625" bestFit="1" customWidth="1"/>
    <col min="4" max="4" width="11.33203125" style="88" bestFit="1" customWidth="1"/>
    <col min="5" max="5" width="11.33203125" style="88" customWidth="1"/>
    <col min="6" max="12" width="11.44140625" style="88" customWidth="1"/>
    <col min="13" max="13" width="11.6640625" style="88" customWidth="1"/>
    <col min="14" max="14" width="10.6640625" style="88" customWidth="1"/>
    <col min="15" max="24" width="10.109375" bestFit="1" customWidth="1"/>
  </cols>
  <sheetData>
    <row r="1" spans="1:24" ht="13.8" thickBot="1" x14ac:dyDescent="0.3">
      <c r="A1" s="39" t="s">
        <v>89</v>
      </c>
      <c r="B1" s="24" t="s">
        <v>172</v>
      </c>
      <c r="C1" s="49" t="s">
        <v>179</v>
      </c>
      <c r="D1" s="83" t="s">
        <v>173</v>
      </c>
      <c r="E1" s="159">
        <v>46054</v>
      </c>
      <c r="F1" s="86">
        <v>45689</v>
      </c>
      <c r="G1" s="86">
        <v>45323</v>
      </c>
      <c r="H1" s="86">
        <v>44958</v>
      </c>
      <c r="I1" s="86">
        <v>44593</v>
      </c>
      <c r="J1" s="86">
        <v>44228</v>
      </c>
      <c r="K1" s="86">
        <v>43862</v>
      </c>
      <c r="L1" s="86">
        <v>43497</v>
      </c>
      <c r="M1" s="86">
        <v>43132</v>
      </c>
      <c r="N1" s="25">
        <v>42767</v>
      </c>
      <c r="O1" s="25">
        <v>42401</v>
      </c>
      <c r="P1" s="25">
        <v>42036</v>
      </c>
      <c r="Q1" s="25">
        <v>41671</v>
      </c>
      <c r="R1" s="25">
        <v>41306</v>
      </c>
      <c r="S1" s="25">
        <v>40940</v>
      </c>
      <c r="T1" s="25">
        <v>40575</v>
      </c>
      <c r="U1" s="25">
        <v>40210</v>
      </c>
      <c r="V1" s="25">
        <v>39845</v>
      </c>
      <c r="W1" s="25">
        <v>39479</v>
      </c>
      <c r="X1" s="26">
        <v>39114</v>
      </c>
    </row>
    <row r="2" spans="1:24" x14ac:dyDescent="0.25">
      <c r="A2" s="40" t="s">
        <v>11</v>
      </c>
      <c r="B2" s="27">
        <f t="shared" ref="B2:B12" si="0">IFERROR(((E2-F2)/F2),"")</f>
        <v>2.3085904920767306</v>
      </c>
      <c r="C2" s="50">
        <v>-857</v>
      </c>
      <c r="D2" s="38">
        <v>-251</v>
      </c>
      <c r="E2" s="43">
        <v>3967</v>
      </c>
      <c r="F2" s="38">
        <v>1199</v>
      </c>
      <c r="G2" s="38">
        <v>4663</v>
      </c>
      <c r="H2" s="38">
        <v>6054</v>
      </c>
      <c r="I2" s="38">
        <v>4654</v>
      </c>
      <c r="J2" s="38">
        <v>3916</v>
      </c>
      <c r="K2" s="38">
        <v>2054</v>
      </c>
      <c r="L2" s="38">
        <v>3327</v>
      </c>
      <c r="M2" s="92">
        <v>1425</v>
      </c>
      <c r="N2" s="1">
        <v>1419</v>
      </c>
      <c r="O2" s="122"/>
      <c r="P2" s="122"/>
      <c r="Q2" s="122"/>
      <c r="R2" s="122"/>
      <c r="S2" s="122"/>
      <c r="T2" s="122"/>
      <c r="U2" s="122"/>
      <c r="V2" s="122"/>
      <c r="W2" s="122"/>
      <c r="X2" s="123"/>
    </row>
    <row r="3" spans="1:24" x14ac:dyDescent="0.25">
      <c r="A3" s="20" t="s">
        <v>9</v>
      </c>
      <c r="B3" s="27">
        <f t="shared" si="0"/>
        <v>2.2976804123711339</v>
      </c>
      <c r="C3" s="50">
        <v>-1632</v>
      </c>
      <c r="D3" s="92">
        <v>-969</v>
      </c>
      <c r="E3" s="125">
        <v>5118</v>
      </c>
      <c r="F3" s="92">
        <v>1552</v>
      </c>
      <c r="G3" s="92">
        <v>5574</v>
      </c>
      <c r="H3" s="92">
        <v>4173</v>
      </c>
      <c r="I3" s="92">
        <v>3605</v>
      </c>
      <c r="J3" s="92">
        <v>4155</v>
      </c>
      <c r="K3" s="92">
        <v>2333</v>
      </c>
      <c r="L3" s="92">
        <v>2179</v>
      </c>
      <c r="M3" s="92">
        <v>2366</v>
      </c>
      <c r="N3" s="1">
        <v>2377</v>
      </c>
      <c r="O3" s="1">
        <v>2581</v>
      </c>
      <c r="P3" s="1">
        <v>998</v>
      </c>
      <c r="Q3" s="1">
        <v>1107</v>
      </c>
      <c r="R3" s="1">
        <v>106</v>
      </c>
      <c r="S3" s="1">
        <v>193</v>
      </c>
      <c r="T3" s="1">
        <v>59</v>
      </c>
      <c r="U3" s="1">
        <v>95</v>
      </c>
      <c r="V3" s="1">
        <v>99</v>
      </c>
      <c r="W3" s="1">
        <v>111</v>
      </c>
      <c r="X3" s="29">
        <v>93</v>
      </c>
    </row>
    <row r="4" spans="1:24" x14ac:dyDescent="0.25">
      <c r="A4" s="20" t="s">
        <v>14</v>
      </c>
      <c r="B4" s="27">
        <f t="shared" si="0"/>
        <v>6.6037735849056603E-2</v>
      </c>
      <c r="C4" s="50">
        <v>-9</v>
      </c>
      <c r="D4" s="92">
        <v>-3</v>
      </c>
      <c r="E4" s="125">
        <v>113</v>
      </c>
      <c r="F4" s="92">
        <v>106</v>
      </c>
      <c r="G4" s="92">
        <v>32</v>
      </c>
      <c r="H4" s="92">
        <v>232</v>
      </c>
      <c r="I4" s="92">
        <v>228</v>
      </c>
      <c r="J4" s="92">
        <v>280</v>
      </c>
      <c r="K4" s="92">
        <v>148</v>
      </c>
      <c r="L4" s="92">
        <v>1121</v>
      </c>
      <c r="M4" s="92">
        <v>516</v>
      </c>
      <c r="N4" s="1">
        <v>258</v>
      </c>
      <c r="O4" s="1">
        <v>759</v>
      </c>
      <c r="P4" s="1">
        <v>1073</v>
      </c>
      <c r="Q4" s="1">
        <v>546</v>
      </c>
      <c r="R4" s="1">
        <v>1315</v>
      </c>
      <c r="S4" s="1">
        <v>883</v>
      </c>
      <c r="T4" s="1">
        <v>945</v>
      </c>
      <c r="U4" s="1">
        <v>1169</v>
      </c>
      <c r="V4" s="1">
        <v>1617</v>
      </c>
      <c r="W4" s="1">
        <v>861</v>
      </c>
      <c r="X4" s="29">
        <v>864</v>
      </c>
    </row>
    <row r="5" spans="1:24" x14ac:dyDescent="0.25">
      <c r="A5" s="20" t="s">
        <v>3</v>
      </c>
      <c r="B5" s="27">
        <f t="shared" si="0"/>
        <v>0.77645694404175125</v>
      </c>
      <c r="C5" s="50">
        <v>-2171</v>
      </c>
      <c r="D5" s="92">
        <v>-875</v>
      </c>
      <c r="E5" s="125">
        <v>6127</v>
      </c>
      <c r="F5" s="92">
        <v>3449</v>
      </c>
      <c r="G5" s="92">
        <v>8401</v>
      </c>
      <c r="H5" s="92">
        <v>10178</v>
      </c>
      <c r="I5" s="92">
        <v>7876</v>
      </c>
      <c r="J5" s="92">
        <v>10520</v>
      </c>
      <c r="K5" s="92">
        <v>9742</v>
      </c>
      <c r="L5" s="92">
        <v>12995</v>
      </c>
      <c r="M5" s="92">
        <v>10702</v>
      </c>
      <c r="N5" s="1">
        <v>9275</v>
      </c>
      <c r="O5" s="1">
        <v>11822</v>
      </c>
      <c r="P5" s="1">
        <v>11037</v>
      </c>
      <c r="Q5" s="1">
        <v>7772</v>
      </c>
      <c r="R5" s="1">
        <v>6204</v>
      </c>
      <c r="S5" s="1">
        <v>7693</v>
      </c>
      <c r="T5" s="1">
        <v>4853</v>
      </c>
      <c r="U5" s="1">
        <v>7046</v>
      </c>
      <c r="V5" s="1">
        <v>6354</v>
      </c>
      <c r="W5" s="1">
        <v>4470</v>
      </c>
      <c r="X5" s="29">
        <v>3698</v>
      </c>
    </row>
    <row r="6" spans="1:24" x14ac:dyDescent="0.25">
      <c r="A6" s="20" t="s">
        <v>10</v>
      </c>
      <c r="B6" s="27">
        <f t="shared" si="0"/>
        <v>2.0552147239263805</v>
      </c>
      <c r="C6" s="50">
        <v>-287</v>
      </c>
      <c r="D6" s="92">
        <v>-341</v>
      </c>
      <c r="E6" s="125">
        <v>1992</v>
      </c>
      <c r="F6" s="92">
        <v>652</v>
      </c>
      <c r="G6" s="92">
        <v>2650</v>
      </c>
      <c r="H6" s="92">
        <v>4428</v>
      </c>
      <c r="I6" s="92">
        <v>6130</v>
      </c>
      <c r="J6" s="92">
        <v>6071</v>
      </c>
      <c r="K6" s="92">
        <v>3483</v>
      </c>
      <c r="L6" s="92">
        <v>10578</v>
      </c>
      <c r="M6" s="92">
        <v>5722</v>
      </c>
      <c r="N6" s="1">
        <v>5033</v>
      </c>
      <c r="O6" s="1">
        <v>9963</v>
      </c>
      <c r="P6" s="1">
        <v>7949</v>
      </c>
      <c r="Q6" s="1">
        <v>8756</v>
      </c>
      <c r="R6" s="1">
        <v>11776</v>
      </c>
      <c r="S6" s="1">
        <v>4661</v>
      </c>
      <c r="T6" s="1">
        <v>9908</v>
      </c>
      <c r="U6" s="1">
        <v>14771</v>
      </c>
      <c r="V6" s="1">
        <v>16121</v>
      </c>
      <c r="W6" s="1">
        <v>9303</v>
      </c>
      <c r="X6" s="29">
        <v>14154</v>
      </c>
    </row>
    <row r="7" spans="1:24" x14ac:dyDescent="0.25">
      <c r="A7" s="20" t="s">
        <v>26</v>
      </c>
      <c r="B7" s="115">
        <f t="shared" si="0"/>
        <v>11.655797101449275</v>
      </c>
      <c r="C7" s="136">
        <v>-1556</v>
      </c>
      <c r="D7" s="92">
        <v>-315</v>
      </c>
      <c r="E7" s="125">
        <v>6986</v>
      </c>
      <c r="F7" s="92">
        <v>552</v>
      </c>
      <c r="G7" s="92">
        <v>4155</v>
      </c>
      <c r="H7" s="92">
        <v>7494</v>
      </c>
      <c r="I7" s="92">
        <v>7727</v>
      </c>
      <c r="J7" s="92">
        <v>5595</v>
      </c>
      <c r="K7" s="92">
        <v>3104</v>
      </c>
      <c r="L7" s="92">
        <v>6997</v>
      </c>
      <c r="M7" s="92">
        <v>2148</v>
      </c>
      <c r="N7" s="1">
        <v>2991</v>
      </c>
      <c r="O7" s="1">
        <v>5535</v>
      </c>
      <c r="P7" s="1">
        <v>3718</v>
      </c>
      <c r="Q7" s="1">
        <v>3570</v>
      </c>
      <c r="R7" s="1">
        <v>2328</v>
      </c>
      <c r="S7" s="1">
        <v>1713</v>
      </c>
      <c r="T7" s="1">
        <v>1818</v>
      </c>
      <c r="U7" s="1">
        <v>3287</v>
      </c>
      <c r="V7" s="1">
        <v>3646</v>
      </c>
      <c r="W7" s="1">
        <v>1376</v>
      </c>
      <c r="X7" s="29">
        <v>2113</v>
      </c>
    </row>
    <row r="8" spans="1:24" x14ac:dyDescent="0.25">
      <c r="A8" s="20" t="s">
        <v>19</v>
      </c>
      <c r="B8" s="115">
        <f t="shared" si="0"/>
        <v>0.51143790849673199</v>
      </c>
      <c r="C8" s="136">
        <v>-707</v>
      </c>
      <c r="D8" s="92">
        <v>-410</v>
      </c>
      <c r="E8" s="125">
        <v>1850</v>
      </c>
      <c r="F8" s="92">
        <v>1224</v>
      </c>
      <c r="G8" s="92">
        <v>1037</v>
      </c>
      <c r="H8" s="92">
        <v>2114</v>
      </c>
      <c r="I8" s="92">
        <v>1876</v>
      </c>
      <c r="J8" s="92">
        <v>1326</v>
      </c>
      <c r="K8" s="92">
        <v>868</v>
      </c>
      <c r="L8" s="92">
        <v>2041</v>
      </c>
      <c r="M8" s="92">
        <v>620</v>
      </c>
      <c r="N8" s="1">
        <v>224</v>
      </c>
      <c r="O8" s="1">
        <v>747</v>
      </c>
      <c r="P8" s="1">
        <v>32</v>
      </c>
      <c r="Q8" s="1">
        <v>120</v>
      </c>
      <c r="R8" s="1">
        <v>157</v>
      </c>
      <c r="S8" s="1">
        <v>30</v>
      </c>
      <c r="T8" s="1">
        <v>40</v>
      </c>
      <c r="U8" s="1">
        <v>28</v>
      </c>
      <c r="V8" s="1">
        <v>94</v>
      </c>
      <c r="W8" s="1">
        <v>142</v>
      </c>
      <c r="X8" s="29">
        <v>90</v>
      </c>
    </row>
    <row r="9" spans="1:24" x14ac:dyDescent="0.25">
      <c r="A9" s="40" t="s">
        <v>87</v>
      </c>
      <c r="B9" s="115">
        <f t="shared" si="0"/>
        <v>1.5380116959064327</v>
      </c>
      <c r="C9" s="136">
        <v>-80</v>
      </c>
      <c r="D9" s="92">
        <v>-138</v>
      </c>
      <c r="E9" s="125">
        <v>434</v>
      </c>
      <c r="F9" s="92">
        <v>171</v>
      </c>
      <c r="G9" s="92">
        <v>243</v>
      </c>
      <c r="H9" s="92">
        <v>313</v>
      </c>
      <c r="I9" s="92">
        <v>1129</v>
      </c>
      <c r="J9" s="92">
        <v>1413</v>
      </c>
      <c r="K9" s="92">
        <v>452</v>
      </c>
      <c r="L9" s="92">
        <v>1890</v>
      </c>
      <c r="M9" s="92">
        <v>801</v>
      </c>
      <c r="N9" s="1">
        <v>1283</v>
      </c>
      <c r="O9" s="1">
        <v>1740</v>
      </c>
      <c r="P9" s="1">
        <v>1307</v>
      </c>
      <c r="Q9" s="1">
        <v>564</v>
      </c>
      <c r="R9" s="1">
        <v>639</v>
      </c>
      <c r="S9" s="1">
        <v>471</v>
      </c>
      <c r="T9" s="1">
        <v>454</v>
      </c>
      <c r="U9" s="1">
        <v>455</v>
      </c>
      <c r="V9" s="1">
        <v>901</v>
      </c>
      <c r="W9" s="1">
        <v>469</v>
      </c>
      <c r="X9" s="29">
        <v>1062</v>
      </c>
    </row>
    <row r="10" spans="1:24" x14ac:dyDescent="0.25">
      <c r="A10" s="20" t="s">
        <v>34</v>
      </c>
      <c r="B10" s="115" t="str">
        <f t="shared" si="0"/>
        <v/>
      </c>
      <c r="C10" s="136">
        <v>0</v>
      </c>
      <c r="D10" s="92">
        <v>0</v>
      </c>
      <c r="E10" s="125">
        <v>0</v>
      </c>
      <c r="F10" s="92">
        <v>0</v>
      </c>
      <c r="G10" s="92">
        <v>0</v>
      </c>
      <c r="H10" s="92">
        <v>0</v>
      </c>
      <c r="I10" s="92">
        <v>0</v>
      </c>
      <c r="J10" s="92">
        <v>182</v>
      </c>
      <c r="K10" s="92">
        <v>40</v>
      </c>
      <c r="L10" s="92">
        <v>9</v>
      </c>
      <c r="M10" s="92">
        <v>4</v>
      </c>
      <c r="N10" s="1">
        <v>3</v>
      </c>
      <c r="O10" s="1">
        <v>50</v>
      </c>
      <c r="P10" s="1">
        <v>39</v>
      </c>
      <c r="Q10" s="1">
        <v>0</v>
      </c>
      <c r="R10" s="1">
        <v>200</v>
      </c>
      <c r="S10" s="1">
        <v>11</v>
      </c>
      <c r="T10" s="1">
        <v>16</v>
      </c>
      <c r="U10" s="1">
        <v>99</v>
      </c>
      <c r="V10" s="1">
        <v>23</v>
      </c>
      <c r="W10" s="1">
        <v>148</v>
      </c>
      <c r="X10" s="29">
        <v>9</v>
      </c>
    </row>
    <row r="11" spans="1:24" ht="13.8" thickBot="1" x14ac:dyDescent="0.3">
      <c r="A11" s="22" t="s">
        <v>58</v>
      </c>
      <c r="B11" s="116">
        <f t="shared" si="0"/>
        <v>1.4795574795574795</v>
      </c>
      <c r="C11" s="137">
        <v>-640</v>
      </c>
      <c r="D11" s="93">
        <v>-4</v>
      </c>
      <c r="E11" s="129">
        <v>5155</v>
      </c>
      <c r="F11" s="93">
        <v>2079</v>
      </c>
      <c r="G11" s="93">
        <v>2079</v>
      </c>
      <c r="H11" s="93">
        <v>4469</v>
      </c>
      <c r="I11" s="93">
        <v>3784</v>
      </c>
      <c r="J11" s="93">
        <v>3581</v>
      </c>
      <c r="K11" s="93">
        <v>1310</v>
      </c>
      <c r="L11" s="93">
        <v>4140</v>
      </c>
      <c r="M11" s="93">
        <v>1760</v>
      </c>
      <c r="N11" s="1">
        <v>2245</v>
      </c>
      <c r="O11" s="85">
        <v>3905</v>
      </c>
      <c r="P11" s="85">
        <v>3530</v>
      </c>
      <c r="Q11" s="85">
        <v>2904</v>
      </c>
      <c r="R11" s="85">
        <v>2276</v>
      </c>
      <c r="S11" s="85">
        <v>917</v>
      </c>
      <c r="T11" s="85">
        <v>1923</v>
      </c>
      <c r="U11" s="85">
        <v>2868</v>
      </c>
      <c r="V11" s="85">
        <v>3986</v>
      </c>
      <c r="W11" s="10">
        <v>1819</v>
      </c>
      <c r="X11" s="31">
        <v>3228</v>
      </c>
    </row>
    <row r="12" spans="1:24" ht="13.8" thickBot="1" x14ac:dyDescent="0.3">
      <c r="A12" s="32" t="s">
        <v>22</v>
      </c>
      <c r="B12" s="117">
        <f t="shared" si="0"/>
        <v>1.8898397669337217</v>
      </c>
      <c r="C12" s="138">
        <v>-7939</v>
      </c>
      <c r="D12" s="94">
        <v>-3306</v>
      </c>
      <c r="E12" s="130">
        <f t="shared" ref="E12" si="1">SUM(E2:E11)</f>
        <v>31742</v>
      </c>
      <c r="F12" s="94">
        <f t="shared" ref="F12:K12" si="2">SUM(F2:F11)</f>
        <v>10984</v>
      </c>
      <c r="G12" s="94">
        <f t="shared" si="2"/>
        <v>28834</v>
      </c>
      <c r="H12" s="94">
        <f t="shared" si="2"/>
        <v>39455</v>
      </c>
      <c r="I12" s="94">
        <f t="shared" si="2"/>
        <v>37009</v>
      </c>
      <c r="J12" s="94">
        <f t="shared" si="2"/>
        <v>37039</v>
      </c>
      <c r="K12" s="94">
        <f t="shared" si="2"/>
        <v>23534</v>
      </c>
      <c r="L12" s="94">
        <v>45277</v>
      </c>
      <c r="M12" s="94">
        <f>SUM(M2:M11)</f>
        <v>26064</v>
      </c>
      <c r="N12" s="128">
        <f>SUM(N2:N11)</f>
        <v>25108</v>
      </c>
      <c r="O12" s="34">
        <f>SUM(O3:O11)</f>
        <v>37102</v>
      </c>
      <c r="P12" s="34">
        <f>SUM(P3:P11)</f>
        <v>29683</v>
      </c>
      <c r="Q12" s="34">
        <f>SUM(Q3:Q11)</f>
        <v>25339</v>
      </c>
      <c r="R12" s="34">
        <f>SUM(R3:R11)</f>
        <v>25001</v>
      </c>
      <c r="S12" s="34">
        <f t="shared" ref="S12:X12" si="3">SUM(S3:S11)</f>
        <v>16572</v>
      </c>
      <c r="T12" s="34">
        <f t="shared" si="3"/>
        <v>20016</v>
      </c>
      <c r="U12" s="34">
        <f t="shared" si="3"/>
        <v>29818</v>
      </c>
      <c r="V12" s="34">
        <f t="shared" si="3"/>
        <v>32841</v>
      </c>
      <c r="W12" s="34">
        <f t="shared" si="3"/>
        <v>18699</v>
      </c>
      <c r="X12" s="35">
        <f t="shared" si="3"/>
        <v>25311</v>
      </c>
    </row>
    <row r="13" spans="1:24" x14ac:dyDescent="0.25">
      <c r="B13" s="118"/>
      <c r="C13" s="118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</row>
    <row r="14" spans="1:24" ht="13.8" thickBot="1" x14ac:dyDescent="0.3">
      <c r="B14" s="110"/>
      <c r="C14" s="110"/>
    </row>
    <row r="15" spans="1:24" ht="13.8" thickBot="1" x14ac:dyDescent="0.3">
      <c r="A15" s="54" t="s">
        <v>24</v>
      </c>
      <c r="B15" s="24" t="s">
        <v>172</v>
      </c>
      <c r="C15" s="49" t="s">
        <v>179</v>
      </c>
      <c r="D15" s="83" t="s">
        <v>173</v>
      </c>
      <c r="E15" s="159">
        <v>46054</v>
      </c>
      <c r="F15" s="86">
        <v>45689</v>
      </c>
      <c r="G15" s="86">
        <v>45323</v>
      </c>
      <c r="H15" s="86">
        <v>44958</v>
      </c>
      <c r="I15" s="86">
        <v>44593</v>
      </c>
      <c r="J15" s="86">
        <v>44228</v>
      </c>
      <c r="K15" s="86">
        <v>43862</v>
      </c>
      <c r="L15" s="86">
        <v>43497</v>
      </c>
      <c r="M15" s="86">
        <v>43132</v>
      </c>
      <c r="N15" s="25">
        <v>42767</v>
      </c>
      <c r="O15" s="25">
        <v>42401</v>
      </c>
      <c r="P15" s="25">
        <v>42036</v>
      </c>
      <c r="Q15" s="25">
        <v>41671</v>
      </c>
      <c r="R15" s="25">
        <v>41306</v>
      </c>
      <c r="S15" s="25">
        <v>40940</v>
      </c>
      <c r="T15" s="25">
        <v>40575</v>
      </c>
      <c r="U15" s="25">
        <v>40210</v>
      </c>
      <c r="V15" s="25">
        <v>39845</v>
      </c>
      <c r="W15" s="25">
        <v>39479</v>
      </c>
      <c r="X15" s="26">
        <v>39114</v>
      </c>
    </row>
    <row r="16" spans="1:24" x14ac:dyDescent="0.25">
      <c r="A16" s="56" t="s">
        <v>7</v>
      </c>
      <c r="B16" s="112">
        <f t="shared" ref="B16:B21" si="4">IFERROR(((E16-F16)/F16),"")</f>
        <v>5.3663570691434466E-2</v>
      </c>
      <c r="C16" s="139">
        <v>-283</v>
      </c>
      <c r="D16" s="59">
        <v>-229</v>
      </c>
      <c r="E16" s="58">
        <v>1021</v>
      </c>
      <c r="F16" s="59">
        <v>969</v>
      </c>
      <c r="G16" s="59">
        <v>1227</v>
      </c>
      <c r="H16" s="59">
        <v>910</v>
      </c>
      <c r="I16" s="59">
        <v>380</v>
      </c>
      <c r="J16" s="59">
        <v>1188</v>
      </c>
      <c r="K16" s="59">
        <v>1680</v>
      </c>
      <c r="L16" s="59">
        <v>1227</v>
      </c>
      <c r="M16" s="59">
        <v>995</v>
      </c>
      <c r="N16" s="59">
        <v>860</v>
      </c>
      <c r="O16" s="59">
        <v>1704</v>
      </c>
      <c r="P16" s="59">
        <v>283</v>
      </c>
      <c r="Q16" s="59">
        <v>1324</v>
      </c>
      <c r="R16" s="59">
        <v>88</v>
      </c>
      <c r="S16" s="59">
        <v>200</v>
      </c>
      <c r="T16" s="59">
        <v>0</v>
      </c>
      <c r="U16" s="59">
        <v>0</v>
      </c>
      <c r="V16" s="59">
        <v>0</v>
      </c>
      <c r="W16" s="59">
        <v>0</v>
      </c>
      <c r="X16" s="71">
        <v>0</v>
      </c>
    </row>
    <row r="17" spans="1:25" x14ac:dyDescent="0.25">
      <c r="A17" s="56" t="s">
        <v>41</v>
      </c>
      <c r="B17" s="112" t="str">
        <f t="shared" si="4"/>
        <v/>
      </c>
      <c r="C17" s="139">
        <v>-35</v>
      </c>
      <c r="D17" s="59">
        <v>0</v>
      </c>
      <c r="E17" s="58">
        <v>35</v>
      </c>
      <c r="F17" s="59">
        <v>0</v>
      </c>
      <c r="G17" s="59">
        <v>78</v>
      </c>
      <c r="H17" s="59">
        <v>1</v>
      </c>
      <c r="I17" s="59">
        <v>0</v>
      </c>
      <c r="J17" s="59">
        <v>0</v>
      </c>
      <c r="K17" s="59">
        <v>0</v>
      </c>
      <c r="L17" s="59">
        <v>6</v>
      </c>
      <c r="M17" s="59">
        <v>0</v>
      </c>
      <c r="N17" s="59">
        <v>0</v>
      </c>
      <c r="O17" s="59">
        <v>2</v>
      </c>
      <c r="P17" s="59">
        <v>0</v>
      </c>
      <c r="Q17" s="59">
        <v>0</v>
      </c>
      <c r="R17" s="59">
        <v>0</v>
      </c>
      <c r="S17" s="59">
        <v>13</v>
      </c>
      <c r="T17" s="59">
        <v>12</v>
      </c>
      <c r="U17" s="59">
        <v>0</v>
      </c>
      <c r="V17" s="59">
        <v>0</v>
      </c>
      <c r="W17" s="59">
        <v>0</v>
      </c>
      <c r="X17" s="71">
        <v>0</v>
      </c>
    </row>
    <row r="18" spans="1:25" x14ac:dyDescent="0.25">
      <c r="A18" s="56" t="s">
        <v>153</v>
      </c>
      <c r="B18" s="112">
        <f t="shared" si="4"/>
        <v>1.4705882352941178</v>
      </c>
      <c r="C18" s="139">
        <v>-19</v>
      </c>
      <c r="D18" s="59">
        <v>-24</v>
      </c>
      <c r="E18" s="58">
        <v>42</v>
      </c>
      <c r="F18" s="59">
        <v>17</v>
      </c>
      <c r="G18" s="59">
        <v>122</v>
      </c>
      <c r="H18" s="59">
        <v>72</v>
      </c>
      <c r="I18" s="59">
        <v>372</v>
      </c>
      <c r="J18" s="59">
        <v>196</v>
      </c>
      <c r="K18" s="59">
        <v>100</v>
      </c>
      <c r="L18" s="59">
        <v>79</v>
      </c>
      <c r="M18" s="59">
        <v>53</v>
      </c>
      <c r="N18" s="59">
        <v>67</v>
      </c>
      <c r="O18" s="59">
        <v>82</v>
      </c>
      <c r="P18" s="59">
        <v>22</v>
      </c>
      <c r="Q18" s="59">
        <v>69</v>
      </c>
      <c r="R18" s="59">
        <v>24</v>
      </c>
      <c r="S18" s="59"/>
      <c r="T18" s="59"/>
      <c r="U18" s="59"/>
      <c r="V18" s="59"/>
      <c r="W18" s="59"/>
      <c r="X18" s="71"/>
    </row>
    <row r="19" spans="1:25" x14ac:dyDescent="0.25">
      <c r="A19" s="56" t="s">
        <v>154</v>
      </c>
      <c r="B19" s="112">
        <f t="shared" si="4"/>
        <v>49</v>
      </c>
      <c r="C19" s="139">
        <v>-256</v>
      </c>
      <c r="D19" s="59">
        <v>-14</v>
      </c>
      <c r="E19" s="58">
        <v>50</v>
      </c>
      <c r="F19" s="59">
        <v>1</v>
      </c>
      <c r="G19" s="59">
        <v>3</v>
      </c>
      <c r="H19" s="59">
        <v>26</v>
      </c>
      <c r="I19" s="59">
        <v>71</v>
      </c>
      <c r="J19" s="59">
        <v>531</v>
      </c>
      <c r="K19" s="59">
        <v>100</v>
      </c>
      <c r="L19" s="59">
        <v>147</v>
      </c>
      <c r="M19" s="59">
        <v>10</v>
      </c>
      <c r="N19" s="59">
        <v>0</v>
      </c>
      <c r="O19" s="59">
        <v>286</v>
      </c>
      <c r="P19" s="59">
        <v>55</v>
      </c>
      <c r="Q19" s="59">
        <v>103</v>
      </c>
      <c r="R19" s="59">
        <v>200</v>
      </c>
      <c r="S19" s="59"/>
      <c r="T19" s="59"/>
      <c r="U19" s="59"/>
      <c r="V19" s="59"/>
      <c r="W19" s="59"/>
      <c r="X19" s="71"/>
    </row>
    <row r="20" spans="1:25" ht="13.8" thickBot="1" x14ac:dyDescent="0.3">
      <c r="A20" s="60" t="s">
        <v>6</v>
      </c>
      <c r="B20" s="112">
        <f t="shared" si="4"/>
        <v>1.6</v>
      </c>
      <c r="C20" s="139">
        <v>-85</v>
      </c>
      <c r="D20" s="59">
        <v>-14</v>
      </c>
      <c r="E20" s="58">
        <v>39</v>
      </c>
      <c r="F20" s="59">
        <v>15</v>
      </c>
      <c r="G20" s="59">
        <v>47</v>
      </c>
      <c r="H20" s="59">
        <v>67</v>
      </c>
      <c r="I20" s="59">
        <v>16</v>
      </c>
      <c r="J20" s="59">
        <v>57</v>
      </c>
      <c r="K20" s="59">
        <v>32</v>
      </c>
      <c r="L20" s="59">
        <v>80</v>
      </c>
      <c r="M20" s="59">
        <v>2</v>
      </c>
      <c r="N20" s="63">
        <v>16</v>
      </c>
      <c r="O20" s="63">
        <v>31</v>
      </c>
      <c r="P20" s="63">
        <v>31</v>
      </c>
      <c r="Q20" s="63">
        <v>84</v>
      </c>
      <c r="R20" s="63">
        <v>14</v>
      </c>
      <c r="S20" s="63">
        <v>99</v>
      </c>
      <c r="T20" s="63">
        <v>68</v>
      </c>
      <c r="U20" s="63">
        <v>49</v>
      </c>
      <c r="V20" s="63">
        <v>0</v>
      </c>
      <c r="W20" s="63">
        <v>14</v>
      </c>
      <c r="X20" s="72">
        <v>9</v>
      </c>
      <c r="Y20" s="1"/>
    </row>
    <row r="21" spans="1:25" ht="13.8" thickBot="1" x14ac:dyDescent="0.3">
      <c r="A21" s="64" t="s">
        <v>90</v>
      </c>
      <c r="B21" s="65">
        <f t="shared" si="4"/>
        <v>0.18463073852295409</v>
      </c>
      <c r="C21" s="91">
        <v>-678</v>
      </c>
      <c r="D21" s="89">
        <v>-281</v>
      </c>
      <c r="E21" s="66">
        <f t="shared" ref="E21" si="5">SUM(E16:E20)</f>
        <v>1187</v>
      </c>
      <c r="F21" s="89">
        <f>SUM(F16:F20)</f>
        <v>1002</v>
      </c>
      <c r="G21" s="89">
        <f>SUM(G16:G20)</f>
        <v>1477</v>
      </c>
      <c r="H21" s="89">
        <f>SUM(H16:H20)</f>
        <v>1076</v>
      </c>
      <c r="I21" s="89">
        <f>SUM(I16:I20)</f>
        <v>839</v>
      </c>
      <c r="J21" s="89">
        <f>SUM(J16:J20)</f>
        <v>1972</v>
      </c>
      <c r="K21" s="89">
        <v>1912</v>
      </c>
      <c r="L21" s="89">
        <v>1539</v>
      </c>
      <c r="M21" s="89">
        <f t="shared" ref="M21:R21" si="6">SUM(M16:M20)</f>
        <v>1060</v>
      </c>
      <c r="N21" s="89">
        <f t="shared" si="6"/>
        <v>943</v>
      </c>
      <c r="O21" s="89">
        <f t="shared" si="6"/>
        <v>2105</v>
      </c>
      <c r="P21" s="89">
        <f t="shared" si="6"/>
        <v>391</v>
      </c>
      <c r="Q21" s="89">
        <f t="shared" si="6"/>
        <v>1580</v>
      </c>
      <c r="R21" s="89">
        <f t="shared" si="6"/>
        <v>326</v>
      </c>
      <c r="S21" s="89">
        <f t="shared" ref="S21:X21" si="7">SUM(S16:S20)</f>
        <v>312</v>
      </c>
      <c r="T21" s="89">
        <f t="shared" si="7"/>
        <v>80</v>
      </c>
      <c r="U21" s="89">
        <f t="shared" si="7"/>
        <v>49</v>
      </c>
      <c r="V21" s="89">
        <f t="shared" si="7"/>
        <v>0</v>
      </c>
      <c r="W21" s="89">
        <f t="shared" si="7"/>
        <v>14</v>
      </c>
      <c r="X21" s="90">
        <f t="shared" si="7"/>
        <v>9</v>
      </c>
      <c r="Y21" s="1"/>
    </row>
    <row r="22" spans="1:25" ht="17.399999999999999" x14ac:dyDescent="0.3">
      <c r="W22" s="5"/>
      <c r="X22" s="1"/>
      <c r="Y22" s="1"/>
    </row>
  </sheetData>
  <conditionalFormatting sqref="E1">
    <cfRule type="expression" dxfId="19" priority="3">
      <formula>ISBLANK(XFD1)=FALSE</formula>
    </cfRule>
  </conditionalFormatting>
  <conditionalFormatting sqref="E15">
    <cfRule type="expression" dxfId="18" priority="1">
      <formula>ISBLANK(XFD15)=FALSE</formula>
    </cfRule>
  </conditionalFormatting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30"/>
  <sheetViews>
    <sheetView zoomScaleNormal="100" workbookViewId="0"/>
  </sheetViews>
  <sheetFormatPr defaultColWidth="9.109375" defaultRowHeight="13.2" x14ac:dyDescent="0.25"/>
  <cols>
    <col min="1" max="1" width="18.6640625" customWidth="1"/>
    <col min="2" max="2" width="10.6640625" customWidth="1"/>
    <col min="3" max="3" width="11.6640625" bestFit="1" customWidth="1"/>
    <col min="4" max="4" width="11.33203125" bestFit="1" customWidth="1"/>
    <col min="5" max="5" width="11.33203125" customWidth="1"/>
    <col min="6" max="12" width="11.6640625" customWidth="1"/>
    <col min="13" max="13" width="11.44140625" customWidth="1"/>
    <col min="14" max="14" width="10.6640625" customWidth="1"/>
    <col min="15" max="24" width="10.109375" bestFit="1" customWidth="1"/>
  </cols>
  <sheetData>
    <row r="1" spans="1:25" ht="13.8" thickBot="1" x14ac:dyDescent="0.3">
      <c r="A1" s="39" t="s">
        <v>89</v>
      </c>
      <c r="B1" s="24" t="s">
        <v>172</v>
      </c>
      <c r="C1" s="49" t="s">
        <v>179</v>
      </c>
      <c r="D1" s="83" t="s">
        <v>173</v>
      </c>
      <c r="E1" s="159">
        <v>46054</v>
      </c>
      <c r="F1" s="86">
        <v>45689</v>
      </c>
      <c r="G1" s="86">
        <v>45323</v>
      </c>
      <c r="H1" s="86">
        <v>44958</v>
      </c>
      <c r="I1" s="86">
        <v>44593</v>
      </c>
      <c r="J1" s="86">
        <v>44228</v>
      </c>
      <c r="K1" s="86">
        <v>43862</v>
      </c>
      <c r="L1" s="86">
        <v>43497</v>
      </c>
      <c r="M1" s="86">
        <v>43132</v>
      </c>
      <c r="N1" s="25">
        <v>42767</v>
      </c>
      <c r="O1" s="25">
        <v>42401</v>
      </c>
      <c r="P1" s="25">
        <v>42036</v>
      </c>
      <c r="Q1" s="25">
        <v>41671</v>
      </c>
      <c r="R1" s="25">
        <v>41306</v>
      </c>
      <c r="S1" s="25">
        <v>40940</v>
      </c>
      <c r="T1" s="25">
        <v>40575</v>
      </c>
      <c r="U1" s="25">
        <v>40210</v>
      </c>
      <c r="V1" s="25">
        <v>39845</v>
      </c>
      <c r="W1" s="25">
        <v>39479</v>
      </c>
      <c r="X1" s="26">
        <v>39114</v>
      </c>
    </row>
    <row r="2" spans="1:25" x14ac:dyDescent="0.25">
      <c r="A2" s="40" t="s">
        <v>4</v>
      </c>
      <c r="B2" s="108" t="str">
        <f t="shared" ref="B2:B20" si="0">IFERROR(((E2-F2)/F2),"")</f>
        <v/>
      </c>
      <c r="C2" s="135">
        <v>-10</v>
      </c>
      <c r="D2" s="38">
        <v>-6</v>
      </c>
      <c r="E2" s="43">
        <v>12</v>
      </c>
      <c r="F2" s="38"/>
      <c r="G2" s="38"/>
      <c r="H2" s="59"/>
      <c r="I2" s="38">
        <v>20</v>
      </c>
      <c r="J2" s="38"/>
      <c r="K2" s="38"/>
      <c r="L2" s="38">
        <v>0</v>
      </c>
      <c r="M2" s="38">
        <v>0</v>
      </c>
      <c r="N2" s="38">
        <v>0</v>
      </c>
      <c r="O2" s="38">
        <v>1</v>
      </c>
      <c r="P2" s="38">
        <v>0</v>
      </c>
      <c r="Q2" s="38">
        <v>0</v>
      </c>
      <c r="R2" s="38">
        <v>4</v>
      </c>
      <c r="S2" s="38">
        <v>0</v>
      </c>
      <c r="T2" s="38">
        <v>0</v>
      </c>
      <c r="U2" s="38">
        <v>0</v>
      </c>
      <c r="V2" s="38">
        <v>2</v>
      </c>
      <c r="W2" s="38">
        <v>33</v>
      </c>
      <c r="X2" s="68"/>
    </row>
    <row r="3" spans="1:25" x14ac:dyDescent="0.25">
      <c r="A3" s="40" t="s">
        <v>96</v>
      </c>
      <c r="B3" s="108">
        <f t="shared" si="0"/>
        <v>-0.53719008264462809</v>
      </c>
      <c r="C3" s="135">
        <v>-21</v>
      </c>
      <c r="D3" s="38">
        <v>-6</v>
      </c>
      <c r="E3" s="43">
        <v>56</v>
      </c>
      <c r="F3" s="38">
        <v>121</v>
      </c>
      <c r="G3" s="38">
        <v>75</v>
      </c>
      <c r="H3" s="59">
        <v>93</v>
      </c>
      <c r="I3" s="38">
        <v>194</v>
      </c>
      <c r="J3" s="38"/>
      <c r="K3" s="38">
        <v>328</v>
      </c>
      <c r="L3" s="38">
        <v>380</v>
      </c>
      <c r="M3" s="38">
        <v>0</v>
      </c>
      <c r="N3" s="38">
        <v>460</v>
      </c>
      <c r="O3" s="38">
        <v>433</v>
      </c>
      <c r="P3" s="38">
        <v>543</v>
      </c>
      <c r="Q3" s="38">
        <v>524</v>
      </c>
      <c r="R3" s="38">
        <v>419</v>
      </c>
      <c r="S3" s="38">
        <v>475</v>
      </c>
      <c r="T3" s="38">
        <v>315</v>
      </c>
      <c r="U3" s="38">
        <v>243</v>
      </c>
      <c r="V3" s="38">
        <v>72</v>
      </c>
      <c r="W3" s="38"/>
      <c r="X3" s="68"/>
    </row>
    <row r="4" spans="1:25" x14ac:dyDescent="0.25">
      <c r="A4" s="40" t="s">
        <v>5</v>
      </c>
      <c r="B4" s="108" t="str">
        <f t="shared" si="0"/>
        <v/>
      </c>
      <c r="C4" s="135">
        <v>-7</v>
      </c>
      <c r="D4" s="38">
        <v>-9</v>
      </c>
      <c r="E4" s="43"/>
      <c r="F4" s="38"/>
      <c r="G4" s="38"/>
      <c r="H4" s="59"/>
      <c r="I4" s="38"/>
      <c r="J4" s="38"/>
      <c r="K4" s="38">
        <v>0</v>
      </c>
      <c r="L4" s="38">
        <v>25</v>
      </c>
      <c r="M4" s="38">
        <v>0</v>
      </c>
      <c r="N4" s="38">
        <v>15</v>
      </c>
      <c r="O4" s="38">
        <v>2</v>
      </c>
      <c r="P4" s="38">
        <v>0</v>
      </c>
      <c r="Q4" s="38">
        <v>15</v>
      </c>
      <c r="R4" s="38">
        <v>4</v>
      </c>
      <c r="S4" s="38">
        <v>5</v>
      </c>
      <c r="T4" s="38">
        <v>0</v>
      </c>
      <c r="U4" s="38">
        <v>0</v>
      </c>
      <c r="V4" s="38">
        <v>6</v>
      </c>
      <c r="W4" s="38"/>
      <c r="X4" s="68"/>
    </row>
    <row r="5" spans="1:25" x14ac:dyDescent="0.25">
      <c r="A5" s="40" t="s">
        <v>2</v>
      </c>
      <c r="B5" s="108">
        <f t="shared" si="0"/>
        <v>-0.51805337519623229</v>
      </c>
      <c r="C5" s="135">
        <v>-989</v>
      </c>
      <c r="D5" s="38">
        <v>-964</v>
      </c>
      <c r="E5" s="43">
        <v>1228</v>
      </c>
      <c r="F5" s="38">
        <v>2548</v>
      </c>
      <c r="G5" s="38">
        <v>1218</v>
      </c>
      <c r="H5" s="59">
        <v>2103</v>
      </c>
      <c r="I5" s="38">
        <v>2616</v>
      </c>
      <c r="J5" s="38">
        <v>1937</v>
      </c>
      <c r="K5" s="38">
        <v>1495</v>
      </c>
      <c r="L5" s="38">
        <v>3394</v>
      </c>
      <c r="M5" s="38">
        <v>1407</v>
      </c>
      <c r="N5" s="38">
        <v>2565</v>
      </c>
      <c r="O5" s="38">
        <v>2773</v>
      </c>
      <c r="P5" s="38">
        <v>2252</v>
      </c>
      <c r="Q5" s="38">
        <v>1757</v>
      </c>
      <c r="R5" s="38">
        <v>1262</v>
      </c>
      <c r="S5" s="38">
        <v>1198</v>
      </c>
      <c r="T5" s="38">
        <v>890</v>
      </c>
      <c r="U5" s="38">
        <v>1806</v>
      </c>
      <c r="V5" s="38">
        <v>1796</v>
      </c>
      <c r="W5" s="38">
        <v>856</v>
      </c>
      <c r="X5" s="68">
        <v>704</v>
      </c>
    </row>
    <row r="6" spans="1:25" x14ac:dyDescent="0.25">
      <c r="A6" s="40" t="s">
        <v>12</v>
      </c>
      <c r="B6" s="108">
        <f t="shared" si="0"/>
        <v>-1</v>
      </c>
      <c r="C6" s="135">
        <v>0</v>
      </c>
      <c r="D6" s="38">
        <v>-1</v>
      </c>
      <c r="E6" s="43"/>
      <c r="F6" s="38">
        <v>14</v>
      </c>
      <c r="G6" s="38"/>
      <c r="H6" s="59"/>
      <c r="I6" s="38"/>
      <c r="J6" s="38"/>
      <c r="K6" s="38">
        <v>5</v>
      </c>
      <c r="L6" s="38">
        <v>16</v>
      </c>
      <c r="M6" s="38">
        <v>0</v>
      </c>
      <c r="N6" s="38">
        <v>17</v>
      </c>
      <c r="O6" s="38">
        <v>8</v>
      </c>
      <c r="P6" s="38">
        <v>0</v>
      </c>
      <c r="Q6" s="38">
        <v>29</v>
      </c>
      <c r="R6" s="38">
        <v>8</v>
      </c>
      <c r="S6" s="38"/>
      <c r="T6" s="38"/>
      <c r="U6" s="38">
        <v>0</v>
      </c>
      <c r="V6" s="38">
        <v>0</v>
      </c>
      <c r="W6" s="38"/>
      <c r="X6" s="68"/>
    </row>
    <row r="7" spans="1:25" x14ac:dyDescent="0.25">
      <c r="A7" s="40" t="s">
        <v>9</v>
      </c>
      <c r="B7" s="108">
        <f t="shared" si="0"/>
        <v>-0.54838709677419351</v>
      </c>
      <c r="C7" s="135">
        <v>-92</v>
      </c>
      <c r="D7" s="38">
        <v>-88</v>
      </c>
      <c r="E7" s="43">
        <v>28</v>
      </c>
      <c r="F7" s="38">
        <v>62</v>
      </c>
      <c r="G7" s="38">
        <v>62</v>
      </c>
      <c r="H7" s="59">
        <v>83</v>
      </c>
      <c r="I7" s="38"/>
      <c r="J7" s="38"/>
      <c r="K7" s="38"/>
      <c r="L7" s="38">
        <v>524</v>
      </c>
      <c r="M7" s="38">
        <v>95</v>
      </c>
      <c r="N7" s="38">
        <v>459</v>
      </c>
      <c r="O7" s="38">
        <v>293</v>
      </c>
      <c r="P7" s="38">
        <v>80</v>
      </c>
      <c r="Q7" s="38">
        <v>235</v>
      </c>
      <c r="R7" s="38"/>
      <c r="S7" s="38">
        <v>207</v>
      </c>
      <c r="T7" s="38">
        <v>157</v>
      </c>
      <c r="U7" s="38">
        <v>140</v>
      </c>
      <c r="V7" s="38">
        <v>0</v>
      </c>
      <c r="W7" s="38"/>
      <c r="X7" s="68"/>
    </row>
    <row r="8" spans="1:25" x14ac:dyDescent="0.25">
      <c r="A8" s="40" t="s">
        <v>14</v>
      </c>
      <c r="B8" s="108" t="str">
        <f t="shared" si="0"/>
        <v/>
      </c>
      <c r="C8" s="135">
        <v>0</v>
      </c>
      <c r="D8" s="38">
        <v>0</v>
      </c>
      <c r="E8" s="43"/>
      <c r="F8" s="38"/>
      <c r="G8" s="38"/>
      <c r="H8" s="59"/>
      <c r="I8" s="38">
        <v>143</v>
      </c>
      <c r="J8" s="38">
        <v>80</v>
      </c>
      <c r="K8" s="38">
        <v>104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/>
      <c r="S8" s="38">
        <v>35</v>
      </c>
      <c r="T8" s="38">
        <v>48</v>
      </c>
      <c r="U8" s="38">
        <v>93</v>
      </c>
      <c r="V8" s="38">
        <v>110</v>
      </c>
      <c r="W8" s="38">
        <v>196</v>
      </c>
      <c r="X8" s="68">
        <v>255</v>
      </c>
    </row>
    <row r="9" spans="1:25" x14ac:dyDescent="0.25">
      <c r="A9" s="40" t="s">
        <v>17</v>
      </c>
      <c r="B9" s="108" t="str">
        <f t="shared" si="0"/>
        <v/>
      </c>
      <c r="C9" s="135">
        <v>0</v>
      </c>
      <c r="D9" s="38">
        <v>0</v>
      </c>
      <c r="E9" s="43"/>
      <c r="F9" s="38"/>
      <c r="G9" s="38">
        <v>6</v>
      </c>
      <c r="H9" s="59"/>
      <c r="I9" s="38"/>
      <c r="J9" s="38"/>
      <c r="K9" s="38">
        <v>4</v>
      </c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68"/>
    </row>
    <row r="10" spans="1:25" x14ac:dyDescent="0.25">
      <c r="A10" s="40" t="s">
        <v>15</v>
      </c>
      <c r="B10" s="108">
        <f t="shared" si="0"/>
        <v>-0.94444444444444442</v>
      </c>
      <c r="C10" s="135">
        <v>-56</v>
      </c>
      <c r="D10" s="38">
        <v>-7</v>
      </c>
      <c r="E10" s="43">
        <v>1</v>
      </c>
      <c r="F10" s="38">
        <v>18</v>
      </c>
      <c r="G10" s="38">
        <v>96</v>
      </c>
      <c r="H10" s="59">
        <v>55</v>
      </c>
      <c r="I10" s="38"/>
      <c r="J10" s="38"/>
      <c r="K10" s="38"/>
      <c r="L10" s="38">
        <v>125</v>
      </c>
      <c r="M10" s="38">
        <v>0</v>
      </c>
      <c r="N10" s="38">
        <v>0</v>
      </c>
      <c r="O10" s="38">
        <v>58</v>
      </c>
      <c r="P10" s="38">
        <v>28</v>
      </c>
      <c r="Q10" s="38">
        <v>115</v>
      </c>
      <c r="R10" s="38"/>
      <c r="S10" s="38">
        <v>90</v>
      </c>
      <c r="T10" s="38">
        <v>9</v>
      </c>
      <c r="U10" s="38">
        <v>0</v>
      </c>
      <c r="V10" s="38">
        <v>26</v>
      </c>
      <c r="W10" s="38"/>
      <c r="X10" s="68"/>
    </row>
    <row r="11" spans="1:25" x14ac:dyDescent="0.25">
      <c r="A11" s="40" t="s">
        <v>10</v>
      </c>
      <c r="B11" s="108" t="str">
        <f t="shared" si="0"/>
        <v/>
      </c>
      <c r="C11" s="135">
        <v>0</v>
      </c>
      <c r="D11" s="38">
        <v>0</v>
      </c>
      <c r="E11" s="43"/>
      <c r="F11" s="38"/>
      <c r="G11" s="38">
        <v>14</v>
      </c>
      <c r="H11" s="59"/>
      <c r="I11" s="38">
        <v>14</v>
      </c>
      <c r="J11" s="38"/>
      <c r="K11" s="38">
        <v>15</v>
      </c>
      <c r="L11" s="38">
        <v>14</v>
      </c>
      <c r="M11" s="38">
        <v>0</v>
      </c>
      <c r="N11" s="38">
        <v>0</v>
      </c>
      <c r="O11" s="38">
        <v>0</v>
      </c>
      <c r="P11" s="38">
        <v>0</v>
      </c>
      <c r="Q11" s="38">
        <v>21</v>
      </c>
      <c r="R11" s="38"/>
      <c r="S11" s="38">
        <v>11</v>
      </c>
      <c r="T11" s="38">
        <v>16</v>
      </c>
      <c r="U11" s="38">
        <v>34</v>
      </c>
      <c r="V11" s="38">
        <v>27</v>
      </c>
      <c r="W11" s="38"/>
      <c r="X11" s="68"/>
      <c r="Y11" s="1"/>
    </row>
    <row r="12" spans="1:25" x14ac:dyDescent="0.25">
      <c r="A12" s="40" t="s">
        <v>98</v>
      </c>
      <c r="B12" s="108">
        <f t="shared" si="0"/>
        <v>-0.92654028436018954</v>
      </c>
      <c r="C12" s="135">
        <v>-509</v>
      </c>
      <c r="D12" s="38">
        <v>-547</v>
      </c>
      <c r="E12" s="43">
        <v>62</v>
      </c>
      <c r="F12" s="38">
        <v>844</v>
      </c>
      <c r="G12" s="38">
        <v>39</v>
      </c>
      <c r="H12" s="59">
        <v>87</v>
      </c>
      <c r="I12" s="38">
        <v>414</v>
      </c>
      <c r="J12" s="38"/>
      <c r="K12" s="38">
        <v>0</v>
      </c>
      <c r="L12" s="38">
        <v>168</v>
      </c>
      <c r="M12" s="38">
        <v>0</v>
      </c>
      <c r="N12" s="38">
        <v>898</v>
      </c>
      <c r="O12" s="38">
        <v>622</v>
      </c>
      <c r="P12" s="38">
        <v>0</v>
      </c>
      <c r="Q12" s="38">
        <v>148</v>
      </c>
      <c r="R12" s="38"/>
      <c r="S12" s="38">
        <v>0</v>
      </c>
      <c r="T12" s="38">
        <v>14</v>
      </c>
      <c r="U12" s="38">
        <v>0</v>
      </c>
      <c r="V12" s="38">
        <v>1</v>
      </c>
      <c r="W12" s="38"/>
      <c r="X12" s="68"/>
    </row>
    <row r="13" spans="1:25" x14ac:dyDescent="0.25">
      <c r="A13" s="40" t="s">
        <v>26</v>
      </c>
      <c r="B13" s="108">
        <f t="shared" si="0"/>
        <v>0.10526315789473684</v>
      </c>
      <c r="C13" s="135">
        <v>0</v>
      </c>
      <c r="D13" s="38">
        <v>0</v>
      </c>
      <c r="E13" s="43">
        <v>21</v>
      </c>
      <c r="F13" s="38">
        <v>19</v>
      </c>
      <c r="G13" s="38">
        <v>0</v>
      </c>
      <c r="H13" s="59">
        <v>8</v>
      </c>
      <c r="I13" s="38">
        <v>21</v>
      </c>
      <c r="J13" s="38">
        <v>28</v>
      </c>
      <c r="K13" s="38"/>
      <c r="L13" s="38">
        <v>51</v>
      </c>
      <c r="M13" s="38">
        <v>20</v>
      </c>
      <c r="N13" s="38">
        <v>27</v>
      </c>
      <c r="O13" s="38">
        <v>22</v>
      </c>
      <c r="P13" s="38">
        <v>45</v>
      </c>
      <c r="Q13" s="38">
        <v>0</v>
      </c>
      <c r="R13" s="38">
        <v>35</v>
      </c>
      <c r="S13" s="38"/>
      <c r="T13" s="38"/>
      <c r="U13" s="38">
        <v>0</v>
      </c>
      <c r="V13" s="38">
        <v>8</v>
      </c>
      <c r="W13" s="38">
        <v>2537</v>
      </c>
      <c r="X13" s="68">
        <v>1713</v>
      </c>
      <c r="Y13" s="1"/>
    </row>
    <row r="14" spans="1:25" x14ac:dyDescent="0.25">
      <c r="A14" s="40" t="s">
        <v>25</v>
      </c>
      <c r="B14" s="108">
        <f t="shared" si="0"/>
        <v>-0.31893687707641194</v>
      </c>
      <c r="C14" s="135">
        <v>-25</v>
      </c>
      <c r="D14" s="38">
        <v>-65</v>
      </c>
      <c r="E14" s="43">
        <v>615</v>
      </c>
      <c r="F14" s="38">
        <v>903</v>
      </c>
      <c r="G14" s="38">
        <v>769</v>
      </c>
      <c r="H14" s="59">
        <v>621</v>
      </c>
      <c r="I14" s="38">
        <v>1162</v>
      </c>
      <c r="J14" s="38">
        <v>1472</v>
      </c>
      <c r="K14" s="38">
        <v>950</v>
      </c>
      <c r="L14" s="38">
        <v>2496</v>
      </c>
      <c r="M14" s="38">
        <v>1258</v>
      </c>
      <c r="N14" s="38">
        <v>2641</v>
      </c>
      <c r="O14" s="38">
        <v>2109</v>
      </c>
      <c r="P14" s="38">
        <v>2160</v>
      </c>
      <c r="Q14" s="38">
        <v>1863</v>
      </c>
      <c r="R14" s="38">
        <v>1293</v>
      </c>
      <c r="S14" s="38">
        <v>1995</v>
      </c>
      <c r="T14" s="38">
        <v>1891</v>
      </c>
      <c r="U14" s="38">
        <v>2214</v>
      </c>
      <c r="V14" s="38">
        <v>3116</v>
      </c>
      <c r="W14" s="38"/>
      <c r="X14" s="68"/>
    </row>
    <row r="15" spans="1:25" x14ac:dyDescent="0.25">
      <c r="A15" s="40" t="s">
        <v>97</v>
      </c>
      <c r="B15" s="108" t="str">
        <f t="shared" si="0"/>
        <v/>
      </c>
      <c r="C15" s="135">
        <v>-3</v>
      </c>
      <c r="D15" s="38">
        <v>0</v>
      </c>
      <c r="E15" s="43"/>
      <c r="F15" s="38"/>
      <c r="G15" s="38"/>
      <c r="H15" s="59"/>
      <c r="I15" s="38"/>
      <c r="J15" s="38"/>
      <c r="K15" s="38"/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/>
      <c r="R15" s="38"/>
      <c r="S15" s="38"/>
      <c r="T15" s="38"/>
      <c r="U15" s="38">
        <v>0</v>
      </c>
      <c r="V15" s="38">
        <v>0</v>
      </c>
      <c r="W15" s="38"/>
      <c r="X15" s="68"/>
    </row>
    <row r="16" spans="1:25" x14ac:dyDescent="0.25">
      <c r="A16" s="40" t="s">
        <v>13</v>
      </c>
      <c r="B16" s="108" t="str">
        <f t="shared" si="0"/>
        <v/>
      </c>
      <c r="C16" s="135">
        <v>0</v>
      </c>
      <c r="D16" s="38">
        <v>0</v>
      </c>
      <c r="E16" s="43"/>
      <c r="F16" s="38"/>
      <c r="G16" s="38"/>
      <c r="H16" s="59"/>
      <c r="I16" s="38"/>
      <c r="J16" s="38"/>
      <c r="K16" s="38"/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/>
      <c r="R16" s="38"/>
      <c r="S16" s="38"/>
      <c r="T16" s="38"/>
      <c r="U16" s="38">
        <v>34</v>
      </c>
      <c r="V16" s="38">
        <v>34</v>
      </c>
      <c r="W16" s="38"/>
      <c r="X16" s="68"/>
    </row>
    <row r="17" spans="1:24" x14ac:dyDescent="0.25">
      <c r="A17" s="40" t="s">
        <v>34</v>
      </c>
      <c r="B17" s="108" t="str">
        <f t="shared" si="0"/>
        <v/>
      </c>
      <c r="C17" s="135">
        <v>0</v>
      </c>
      <c r="D17" s="38">
        <v>0</v>
      </c>
      <c r="E17" s="43"/>
      <c r="F17" s="38"/>
      <c r="G17" s="38"/>
      <c r="H17" s="59"/>
      <c r="I17" s="38"/>
      <c r="J17" s="38"/>
      <c r="K17" s="38">
        <v>0</v>
      </c>
      <c r="L17" s="38">
        <v>14</v>
      </c>
      <c r="M17" s="38">
        <v>0</v>
      </c>
      <c r="N17" s="38">
        <v>12</v>
      </c>
      <c r="O17" s="38">
        <v>0</v>
      </c>
      <c r="P17" s="38">
        <v>0</v>
      </c>
      <c r="Q17" s="38">
        <v>5</v>
      </c>
      <c r="R17" s="38"/>
      <c r="S17" s="38"/>
      <c r="T17" s="38"/>
      <c r="U17" s="38"/>
      <c r="V17" s="38"/>
      <c r="W17" s="38"/>
      <c r="X17" s="68"/>
    </row>
    <row r="18" spans="1:24" x14ac:dyDescent="0.25">
      <c r="A18" s="40" t="s">
        <v>85</v>
      </c>
      <c r="B18" s="108">
        <f t="shared" si="0"/>
        <v>-2.1873710276516713E-2</v>
      </c>
      <c r="C18" s="135">
        <v>-343</v>
      </c>
      <c r="D18" s="38">
        <v>-99</v>
      </c>
      <c r="E18" s="43">
        <v>2370</v>
      </c>
      <c r="F18" s="38">
        <v>2423</v>
      </c>
      <c r="G18" s="38">
        <v>1393</v>
      </c>
      <c r="H18" s="59">
        <v>2286</v>
      </c>
      <c r="I18" s="38">
        <v>2361</v>
      </c>
      <c r="J18" s="38">
        <v>1067</v>
      </c>
      <c r="K18" s="38">
        <v>1277</v>
      </c>
      <c r="L18" s="38">
        <v>2037</v>
      </c>
      <c r="M18" s="38">
        <v>881</v>
      </c>
      <c r="N18" s="38">
        <v>1134</v>
      </c>
      <c r="O18" s="38">
        <v>1113</v>
      </c>
      <c r="P18" s="38">
        <v>904</v>
      </c>
      <c r="Q18" s="38">
        <v>790</v>
      </c>
      <c r="R18" s="38">
        <v>870</v>
      </c>
      <c r="S18" s="38">
        <v>328</v>
      </c>
      <c r="T18" s="38">
        <v>352</v>
      </c>
      <c r="U18" s="38">
        <v>390</v>
      </c>
      <c r="V18" s="38">
        <v>145</v>
      </c>
      <c r="W18" s="38"/>
      <c r="X18" s="68"/>
    </row>
    <row r="19" spans="1:24" ht="13.8" thickBot="1" x14ac:dyDescent="0.3">
      <c r="A19" s="41" t="s">
        <v>6</v>
      </c>
      <c r="B19" s="119">
        <f t="shared" si="0"/>
        <v>2.0883720930232559</v>
      </c>
      <c r="C19" s="140">
        <v>-669</v>
      </c>
      <c r="D19" s="38">
        <v>-45</v>
      </c>
      <c r="E19" s="43">
        <v>664</v>
      </c>
      <c r="F19" s="38">
        <v>215</v>
      </c>
      <c r="G19" s="38">
        <f>730+10</f>
        <v>740</v>
      </c>
      <c r="H19" s="59">
        <v>981</v>
      </c>
      <c r="I19" s="38">
        <v>131</v>
      </c>
      <c r="J19" s="38">
        <f>59+166</f>
        <v>225</v>
      </c>
      <c r="K19" s="38">
        <f>77+235</f>
        <v>312</v>
      </c>
      <c r="L19" s="38">
        <v>483</v>
      </c>
      <c r="M19" s="38">
        <v>98</v>
      </c>
      <c r="N19" s="37">
        <v>139</v>
      </c>
      <c r="O19" s="37">
        <v>57</v>
      </c>
      <c r="P19" s="37">
        <v>81</v>
      </c>
      <c r="Q19" s="37">
        <v>132</v>
      </c>
      <c r="R19" s="37">
        <v>145</v>
      </c>
      <c r="S19" s="37">
        <v>92</v>
      </c>
      <c r="T19" s="37">
        <v>90</v>
      </c>
      <c r="U19" s="37">
        <v>452</v>
      </c>
      <c r="V19" s="37">
        <v>219</v>
      </c>
      <c r="W19" s="37">
        <v>270</v>
      </c>
      <c r="X19" s="69">
        <v>216</v>
      </c>
    </row>
    <row r="20" spans="1:24" ht="13.8" thickBot="1" x14ac:dyDescent="0.3">
      <c r="A20" s="42" t="s">
        <v>90</v>
      </c>
      <c r="B20" s="120">
        <f t="shared" si="0"/>
        <v>-0.29440491139946978</v>
      </c>
      <c r="C20" s="138">
        <v>-2724</v>
      </c>
      <c r="D20" s="46">
        <v>-1837</v>
      </c>
      <c r="E20" s="45">
        <f t="shared" ref="E20" si="1">SUM(E2:E19)</f>
        <v>5057</v>
      </c>
      <c r="F20" s="46">
        <f t="shared" ref="F20:L20" si="2">SUM(F2:F19)</f>
        <v>7167</v>
      </c>
      <c r="G20" s="46">
        <f t="shared" si="2"/>
        <v>4412</v>
      </c>
      <c r="H20" s="46">
        <f t="shared" si="2"/>
        <v>6317</v>
      </c>
      <c r="I20" s="46">
        <f t="shared" si="2"/>
        <v>7076</v>
      </c>
      <c r="J20" s="46">
        <f t="shared" si="2"/>
        <v>4809</v>
      </c>
      <c r="K20" s="46">
        <f t="shared" si="2"/>
        <v>4490</v>
      </c>
      <c r="L20" s="46">
        <f t="shared" si="2"/>
        <v>9727</v>
      </c>
      <c r="M20" s="46">
        <f t="shared" ref="M20:R20" si="3">SUM(M2:M19)</f>
        <v>3759</v>
      </c>
      <c r="N20" s="46">
        <f t="shared" si="3"/>
        <v>8367</v>
      </c>
      <c r="O20" s="46">
        <f t="shared" si="3"/>
        <v>7491</v>
      </c>
      <c r="P20" s="46">
        <f t="shared" si="3"/>
        <v>6093</v>
      </c>
      <c r="Q20" s="46">
        <f t="shared" si="3"/>
        <v>5634</v>
      </c>
      <c r="R20" s="46">
        <f t="shared" si="3"/>
        <v>4040</v>
      </c>
      <c r="S20" s="46">
        <f t="shared" ref="S20:X20" si="4">SUM(S2:S19)</f>
        <v>4436</v>
      </c>
      <c r="T20" s="46">
        <f t="shared" si="4"/>
        <v>3782</v>
      </c>
      <c r="U20" s="46">
        <f t="shared" si="4"/>
        <v>5406</v>
      </c>
      <c r="V20" s="46">
        <f t="shared" si="4"/>
        <v>5562</v>
      </c>
      <c r="W20" s="46">
        <f t="shared" si="4"/>
        <v>3892</v>
      </c>
      <c r="X20" s="35">
        <f t="shared" si="4"/>
        <v>2888</v>
      </c>
    </row>
    <row r="21" spans="1:24" x14ac:dyDescent="0.25">
      <c r="B21" s="110"/>
      <c r="C21" s="110"/>
      <c r="M21" s="1"/>
    </row>
    <row r="22" spans="1:24" ht="13.8" thickBot="1" x14ac:dyDescent="0.3">
      <c r="B22" s="111"/>
      <c r="C22" s="111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s="53" customFormat="1" ht="13.8" thickBot="1" x14ac:dyDescent="0.3">
      <c r="A23" s="54" t="s">
        <v>120</v>
      </c>
      <c r="B23" s="24" t="s">
        <v>172</v>
      </c>
      <c r="C23" s="49" t="s">
        <v>179</v>
      </c>
      <c r="D23" s="83" t="s">
        <v>173</v>
      </c>
      <c r="E23" s="159">
        <v>46054</v>
      </c>
      <c r="F23" s="86">
        <v>45689</v>
      </c>
      <c r="G23" s="86">
        <v>45323</v>
      </c>
      <c r="H23" s="86">
        <v>44958</v>
      </c>
      <c r="I23" s="86">
        <v>44593</v>
      </c>
      <c r="J23" s="86">
        <v>44228</v>
      </c>
      <c r="K23" s="86">
        <v>43862</v>
      </c>
      <c r="L23" s="86">
        <v>43497</v>
      </c>
      <c r="M23" s="86">
        <v>43132</v>
      </c>
      <c r="N23" s="25">
        <v>42767</v>
      </c>
      <c r="O23" s="25">
        <v>42401</v>
      </c>
      <c r="P23" s="25">
        <v>42036</v>
      </c>
      <c r="Q23" s="25">
        <v>41671</v>
      </c>
      <c r="R23" s="25">
        <v>41306</v>
      </c>
      <c r="S23" s="25">
        <v>40940</v>
      </c>
      <c r="T23" s="25">
        <v>40575</v>
      </c>
      <c r="U23" s="25">
        <v>40210</v>
      </c>
      <c r="V23" s="25">
        <v>39845</v>
      </c>
      <c r="W23" s="25">
        <v>39479</v>
      </c>
      <c r="X23" s="26">
        <v>39114</v>
      </c>
    </row>
    <row r="24" spans="1:24" s="53" customFormat="1" x14ac:dyDescent="0.25">
      <c r="A24" s="56" t="s">
        <v>7</v>
      </c>
      <c r="B24" s="112" t="str">
        <f t="shared" ref="B24:B27" si="5">IFERROR(((E24-F24)/F24),"")</f>
        <v/>
      </c>
      <c r="C24" s="139">
        <v>0</v>
      </c>
      <c r="D24" s="59">
        <v>0</v>
      </c>
      <c r="E24" s="58"/>
      <c r="F24" s="59"/>
      <c r="G24" s="59"/>
      <c r="H24" s="59"/>
      <c r="I24" s="59"/>
      <c r="J24" s="59">
        <v>54</v>
      </c>
      <c r="K24" s="59">
        <v>10</v>
      </c>
      <c r="L24" s="59">
        <v>209</v>
      </c>
      <c r="M24" s="59">
        <v>0</v>
      </c>
      <c r="N24" s="59">
        <v>0</v>
      </c>
      <c r="O24" s="59">
        <v>112</v>
      </c>
      <c r="P24" s="59">
        <v>0</v>
      </c>
      <c r="Q24" s="59">
        <v>91</v>
      </c>
      <c r="R24" s="59"/>
      <c r="S24" s="59">
        <v>106</v>
      </c>
      <c r="T24" s="59">
        <v>0</v>
      </c>
      <c r="U24" s="59">
        <v>0</v>
      </c>
      <c r="V24" s="59">
        <f>SUM(Y24:Z24)</f>
        <v>0</v>
      </c>
      <c r="W24" s="59">
        <f>B39</f>
        <v>0</v>
      </c>
      <c r="X24" s="71">
        <f>B61</f>
        <v>0</v>
      </c>
    </row>
    <row r="25" spans="1:24" s="53" customFormat="1" x14ac:dyDescent="0.25">
      <c r="A25" s="56" t="s">
        <v>148</v>
      </c>
      <c r="B25" s="112" t="str">
        <f t="shared" si="5"/>
        <v/>
      </c>
      <c r="C25" s="139">
        <v>0</v>
      </c>
      <c r="D25" s="59">
        <v>0</v>
      </c>
      <c r="E25" s="58"/>
      <c r="F25" s="59"/>
      <c r="G25" s="59"/>
      <c r="H25" s="59"/>
      <c r="I25" s="59"/>
      <c r="J25" s="59"/>
      <c r="K25" s="59"/>
      <c r="L25" s="59">
        <v>0</v>
      </c>
      <c r="M25" s="59">
        <v>0</v>
      </c>
      <c r="N25" s="59">
        <v>0</v>
      </c>
      <c r="O25" s="59">
        <v>0</v>
      </c>
      <c r="P25" s="59">
        <v>0</v>
      </c>
      <c r="Q25" s="59"/>
      <c r="R25" s="59"/>
      <c r="S25" s="59">
        <v>0</v>
      </c>
      <c r="T25" s="59"/>
      <c r="U25" s="59"/>
      <c r="V25" s="59"/>
      <c r="W25" s="59"/>
      <c r="X25" s="71"/>
    </row>
    <row r="26" spans="1:24" s="53" customFormat="1" ht="13.8" thickBot="1" x14ac:dyDescent="0.3">
      <c r="A26" s="60" t="s">
        <v>6</v>
      </c>
      <c r="B26" s="113" t="str">
        <f t="shared" si="5"/>
        <v/>
      </c>
      <c r="C26" s="139">
        <v>0</v>
      </c>
      <c r="D26" s="59">
        <v>0</v>
      </c>
      <c r="E26" s="58"/>
      <c r="F26" s="59"/>
      <c r="G26" s="59"/>
      <c r="H26" s="59">
        <v>90</v>
      </c>
      <c r="I26" s="59"/>
      <c r="J26" s="59">
        <v>15</v>
      </c>
      <c r="K26" s="59">
        <v>26</v>
      </c>
      <c r="L26" s="59">
        <v>93</v>
      </c>
      <c r="M26" s="59">
        <v>0</v>
      </c>
      <c r="N26" s="63">
        <v>37</v>
      </c>
      <c r="O26" s="63">
        <v>72</v>
      </c>
      <c r="P26" s="63">
        <v>10</v>
      </c>
      <c r="Q26" s="63">
        <v>83</v>
      </c>
      <c r="R26" s="63"/>
      <c r="S26" s="63">
        <v>12</v>
      </c>
      <c r="T26" s="63">
        <v>0</v>
      </c>
      <c r="U26" s="63">
        <v>0</v>
      </c>
      <c r="V26" s="63">
        <f>SUM(Y26:Z26)</f>
        <v>0</v>
      </c>
      <c r="W26" s="63">
        <v>0</v>
      </c>
      <c r="X26" s="72">
        <f>B70</f>
        <v>0</v>
      </c>
    </row>
    <row r="27" spans="1:24" s="53" customFormat="1" ht="13.8" thickBot="1" x14ac:dyDescent="0.3">
      <c r="A27" s="64" t="s">
        <v>90</v>
      </c>
      <c r="B27" s="65" t="str">
        <f t="shared" si="5"/>
        <v/>
      </c>
      <c r="C27" s="91">
        <v>0</v>
      </c>
      <c r="D27" s="89">
        <v>0</v>
      </c>
      <c r="E27" s="66"/>
      <c r="F27" s="89">
        <f t="shared" ref="F27:L27" si="6">SUM(F24:F26)</f>
        <v>0</v>
      </c>
      <c r="G27" s="89">
        <f t="shared" si="6"/>
        <v>0</v>
      </c>
      <c r="H27" s="89">
        <f t="shared" si="6"/>
        <v>90</v>
      </c>
      <c r="I27" s="89">
        <f t="shared" si="6"/>
        <v>0</v>
      </c>
      <c r="J27" s="89">
        <f t="shared" si="6"/>
        <v>69</v>
      </c>
      <c r="K27" s="89">
        <f t="shared" si="6"/>
        <v>36</v>
      </c>
      <c r="L27" s="89">
        <f t="shared" si="6"/>
        <v>302</v>
      </c>
      <c r="M27" s="89">
        <v>0</v>
      </c>
      <c r="N27" s="89">
        <f>SUM(N24:N26)</f>
        <v>37</v>
      </c>
      <c r="O27" s="89">
        <f>SUM(O24:O26)</f>
        <v>184</v>
      </c>
      <c r="P27" s="89">
        <f>SUM(P24:P26)</f>
        <v>10</v>
      </c>
      <c r="Q27" s="89">
        <f>SUM(Q24:Q26)</f>
        <v>174</v>
      </c>
      <c r="R27" s="89"/>
      <c r="S27" s="89">
        <f>SUM(S24:S26)</f>
        <v>118</v>
      </c>
      <c r="T27" s="89">
        <v>0</v>
      </c>
      <c r="U27" s="89">
        <v>0</v>
      </c>
      <c r="V27" s="89">
        <f>SUM(V24:V26)</f>
        <v>0</v>
      </c>
      <c r="W27" s="67">
        <f>SUM(W24:W26)</f>
        <v>0</v>
      </c>
      <c r="X27" s="73">
        <f>SUM(X24:X26)</f>
        <v>0</v>
      </c>
    </row>
    <row r="28" spans="1:24" s="53" customFormat="1" x14ac:dyDescent="0.25"/>
    <row r="29" spans="1:24" s="53" customFormat="1" x14ac:dyDescent="0.25">
      <c r="A29"/>
      <c r="B29"/>
      <c r="C29"/>
      <c r="D29"/>
      <c r="E29"/>
    </row>
    <row r="30" spans="1:24" s="53" customFormat="1" x14ac:dyDescent="0.25">
      <c r="A30"/>
      <c r="B30"/>
      <c r="C30"/>
      <c r="D30"/>
      <c r="E30"/>
    </row>
  </sheetData>
  <conditionalFormatting sqref="E1">
    <cfRule type="expression" dxfId="17" priority="3">
      <formula>ISBLANK(XFD1)=FALSE</formula>
    </cfRule>
  </conditionalFormatting>
  <conditionalFormatting sqref="E23">
    <cfRule type="expression" dxfId="16" priority="1">
      <formula>ISBLANK(XFD23)=FALSE</formula>
    </cfRule>
  </conditionalFormatting>
  <pageMargins left="0.75" right="0.75" top="1" bottom="1" header="0.5" footer="0.5"/>
  <pageSetup paperSize="9" scale="66" fitToHeight="3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38"/>
  <sheetViews>
    <sheetView zoomScaleNormal="100" workbookViewId="0"/>
  </sheetViews>
  <sheetFormatPr defaultColWidth="9.109375" defaultRowHeight="13.2" x14ac:dyDescent="0.25"/>
  <cols>
    <col min="1" max="1" width="24.6640625" customWidth="1"/>
    <col min="2" max="2" width="10.6640625" customWidth="1"/>
    <col min="3" max="3" width="11.6640625" bestFit="1" customWidth="1"/>
    <col min="4" max="4" width="11.33203125" bestFit="1" customWidth="1"/>
    <col min="5" max="12" width="11.33203125" customWidth="1"/>
    <col min="13" max="13" width="12.33203125" customWidth="1"/>
    <col min="14" max="21" width="10.6640625" customWidth="1"/>
  </cols>
  <sheetData>
    <row r="1" spans="1:22" ht="13.8" thickBot="1" x14ac:dyDescent="0.3">
      <c r="A1" s="39" t="s">
        <v>89</v>
      </c>
      <c r="B1" s="24" t="s">
        <v>172</v>
      </c>
      <c r="C1" s="49" t="s">
        <v>179</v>
      </c>
      <c r="D1" s="83" t="s">
        <v>173</v>
      </c>
      <c r="E1" s="159">
        <v>46054</v>
      </c>
      <c r="F1" s="86">
        <v>45689</v>
      </c>
      <c r="G1" s="86">
        <v>45323</v>
      </c>
      <c r="H1" s="86">
        <v>44958</v>
      </c>
      <c r="I1" s="86">
        <v>44593</v>
      </c>
      <c r="J1" s="86">
        <v>44228</v>
      </c>
      <c r="K1" s="86">
        <v>43862</v>
      </c>
      <c r="L1" s="86">
        <v>43497</v>
      </c>
      <c r="M1" s="86">
        <v>43132</v>
      </c>
      <c r="N1" s="25">
        <v>42767</v>
      </c>
      <c r="O1" s="25">
        <v>42401</v>
      </c>
      <c r="P1" s="25">
        <v>42036</v>
      </c>
      <c r="Q1" s="25">
        <v>41671</v>
      </c>
      <c r="R1" s="25">
        <v>41306</v>
      </c>
      <c r="S1" s="25">
        <v>40940</v>
      </c>
      <c r="T1" s="25">
        <v>40575</v>
      </c>
      <c r="U1" s="26">
        <v>40210</v>
      </c>
    </row>
    <row r="2" spans="1:22" x14ac:dyDescent="0.25">
      <c r="A2" s="40" t="s">
        <v>119</v>
      </c>
      <c r="B2" s="47">
        <f t="shared" ref="B2:B26" si="0">IFERROR(((E2-F2)/F2),"")</f>
        <v>-9.1811751080914161E-2</v>
      </c>
      <c r="C2" s="79">
        <v>-1002.2947000000004</v>
      </c>
      <c r="D2" s="38">
        <v>-1020</v>
      </c>
      <c r="E2" s="43">
        <v>5881.4270999999999</v>
      </c>
      <c r="F2" s="38">
        <v>6476</v>
      </c>
      <c r="G2" s="38">
        <v>4401</v>
      </c>
      <c r="H2" s="38">
        <v>5813</v>
      </c>
      <c r="I2" s="38">
        <v>3063</v>
      </c>
      <c r="J2" s="38">
        <v>6138</v>
      </c>
      <c r="K2" s="38">
        <v>5610</v>
      </c>
      <c r="L2" s="38">
        <v>4719</v>
      </c>
      <c r="M2" s="38">
        <v>6442</v>
      </c>
      <c r="N2" s="107">
        <v>9604</v>
      </c>
      <c r="O2" s="107">
        <v>7435</v>
      </c>
      <c r="P2" s="107">
        <v>12894</v>
      </c>
      <c r="Q2" s="107">
        <v>16593</v>
      </c>
      <c r="R2" s="107">
        <v>8936</v>
      </c>
      <c r="S2" s="107">
        <v>14027</v>
      </c>
      <c r="T2" s="107">
        <v>15392</v>
      </c>
      <c r="U2" s="103">
        <v>14047</v>
      </c>
    </row>
    <row r="3" spans="1:22" x14ac:dyDescent="0.25">
      <c r="A3" s="40" t="s">
        <v>124</v>
      </c>
      <c r="B3" s="47">
        <f t="shared" si="0"/>
        <v>0.17955414478918055</v>
      </c>
      <c r="C3" s="79">
        <v>-5423.7862000000023</v>
      </c>
      <c r="D3" s="38">
        <v>-4833</v>
      </c>
      <c r="E3" s="43">
        <v>22240.493399999999</v>
      </c>
      <c r="F3" s="38">
        <v>18855</v>
      </c>
      <c r="G3" s="38">
        <v>22366</v>
      </c>
      <c r="H3" s="38">
        <v>17397</v>
      </c>
      <c r="I3" s="38">
        <v>23118</v>
      </c>
      <c r="J3" s="38">
        <v>18071</v>
      </c>
      <c r="K3" s="38">
        <v>21632</v>
      </c>
      <c r="L3" s="38">
        <v>18908</v>
      </c>
      <c r="M3" s="38">
        <v>16147</v>
      </c>
      <c r="N3" s="107">
        <v>18227</v>
      </c>
      <c r="O3" s="107">
        <v>18668</v>
      </c>
      <c r="P3" s="107">
        <v>15276</v>
      </c>
      <c r="Q3" s="107">
        <v>23207</v>
      </c>
      <c r="R3" s="107">
        <v>13337</v>
      </c>
      <c r="S3" s="107">
        <v>16665</v>
      </c>
      <c r="T3" s="107">
        <v>15734</v>
      </c>
      <c r="U3" s="103">
        <v>15543</v>
      </c>
    </row>
    <row r="4" spans="1:22" x14ac:dyDescent="0.25">
      <c r="A4" s="40" t="s">
        <v>4</v>
      </c>
      <c r="B4" s="47">
        <f t="shared" si="0"/>
        <v>0.12288516166281753</v>
      </c>
      <c r="C4" s="79">
        <v>-2257.9113000000007</v>
      </c>
      <c r="D4" s="38">
        <v>-1561</v>
      </c>
      <c r="E4" s="43">
        <v>1944.8371</v>
      </c>
      <c r="F4" s="38">
        <v>1732</v>
      </c>
      <c r="G4" s="38">
        <v>928</v>
      </c>
      <c r="H4" s="38">
        <v>2097</v>
      </c>
      <c r="I4" s="38">
        <v>2309</v>
      </c>
      <c r="J4" s="38">
        <v>752</v>
      </c>
      <c r="K4" s="38">
        <v>1129</v>
      </c>
      <c r="L4" s="38">
        <v>2324</v>
      </c>
      <c r="M4" s="38">
        <v>407</v>
      </c>
      <c r="N4" s="38">
        <v>2001</v>
      </c>
      <c r="O4" s="38">
        <v>2048</v>
      </c>
      <c r="P4" s="38">
        <v>2108</v>
      </c>
      <c r="Q4" s="38">
        <v>614</v>
      </c>
      <c r="R4" s="38">
        <v>129</v>
      </c>
      <c r="S4" s="38">
        <v>3491</v>
      </c>
      <c r="T4" s="38">
        <v>2878</v>
      </c>
      <c r="U4" s="68">
        <v>4666</v>
      </c>
    </row>
    <row r="5" spans="1:22" x14ac:dyDescent="0.25">
      <c r="A5" s="40" t="s">
        <v>11</v>
      </c>
      <c r="B5" s="47">
        <f t="shared" si="0"/>
        <v>-0.15955378169629844</v>
      </c>
      <c r="C5" s="79">
        <v>-2395.4513999999999</v>
      </c>
      <c r="D5" s="38">
        <v>-1292</v>
      </c>
      <c r="E5" s="43">
        <v>11534.2839</v>
      </c>
      <c r="F5" s="38">
        <v>13724</v>
      </c>
      <c r="G5" s="38">
        <v>12524</v>
      </c>
      <c r="H5" s="38">
        <v>10478</v>
      </c>
      <c r="I5" s="38">
        <v>15997</v>
      </c>
      <c r="J5" s="38">
        <v>15130</v>
      </c>
      <c r="K5" s="38">
        <v>24005</v>
      </c>
      <c r="L5" s="38">
        <v>18555</v>
      </c>
      <c r="M5" s="38">
        <v>18746</v>
      </c>
      <c r="N5" s="38">
        <v>21986</v>
      </c>
      <c r="O5" s="38">
        <v>25659</v>
      </c>
      <c r="P5" s="38">
        <v>18484</v>
      </c>
      <c r="Q5" s="38">
        <v>30004</v>
      </c>
      <c r="R5" s="38">
        <v>13014</v>
      </c>
      <c r="S5" s="38">
        <v>37216</v>
      </c>
      <c r="T5" s="38">
        <v>33947</v>
      </c>
      <c r="U5" s="68">
        <v>48135</v>
      </c>
    </row>
    <row r="6" spans="1:22" hidden="1" x14ac:dyDescent="0.25">
      <c r="A6" s="40" t="s">
        <v>28</v>
      </c>
      <c r="B6" s="47" t="str">
        <f t="shared" si="0"/>
        <v/>
      </c>
      <c r="C6" s="79">
        <v>0</v>
      </c>
      <c r="D6" s="38">
        <v>0</v>
      </c>
      <c r="E6" s="43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>
        <v>727</v>
      </c>
      <c r="T6" s="38">
        <v>2023</v>
      </c>
      <c r="U6" s="68">
        <v>2642</v>
      </c>
    </row>
    <row r="7" spans="1:22" x14ac:dyDescent="0.25">
      <c r="A7" s="40" t="s">
        <v>143</v>
      </c>
      <c r="B7" s="47">
        <f t="shared" si="0"/>
        <v>8.2217461167648637E-2</v>
      </c>
      <c r="C7" s="79">
        <v>-700</v>
      </c>
      <c r="D7" s="38">
        <v>-1003</v>
      </c>
      <c r="E7" s="43">
        <v>8082</v>
      </c>
      <c r="F7" s="38">
        <v>7468</v>
      </c>
      <c r="G7" s="38">
        <v>4466</v>
      </c>
      <c r="H7" s="38">
        <v>2339</v>
      </c>
      <c r="I7" s="38">
        <v>2378</v>
      </c>
      <c r="J7" s="38">
        <v>4182</v>
      </c>
      <c r="K7" s="38">
        <v>4082</v>
      </c>
      <c r="L7" s="38">
        <v>4330</v>
      </c>
      <c r="M7" s="38">
        <v>3531</v>
      </c>
      <c r="N7" s="38">
        <v>3872</v>
      </c>
      <c r="O7" s="38">
        <v>3073</v>
      </c>
      <c r="P7" s="38">
        <v>2036</v>
      </c>
      <c r="Q7" s="38">
        <v>1603</v>
      </c>
      <c r="R7" s="38">
        <v>1082</v>
      </c>
      <c r="S7" s="38">
        <v>1781</v>
      </c>
      <c r="T7" s="38">
        <v>1938</v>
      </c>
      <c r="U7" s="68">
        <v>234</v>
      </c>
    </row>
    <row r="8" spans="1:22" x14ac:dyDescent="0.25">
      <c r="A8" s="40" t="s">
        <v>60</v>
      </c>
      <c r="B8" s="47">
        <f t="shared" si="0"/>
        <v>0.15092070556946183</v>
      </c>
      <c r="C8" s="79">
        <v>-27176.670099999988</v>
      </c>
      <c r="D8" s="38">
        <v>-26257</v>
      </c>
      <c r="E8" s="43">
        <v>132420.3327</v>
      </c>
      <c r="F8" s="38">
        <v>115056</v>
      </c>
      <c r="G8" s="38">
        <v>109394</v>
      </c>
      <c r="H8" s="38">
        <v>91648</v>
      </c>
      <c r="I8" s="38">
        <v>68583</v>
      </c>
      <c r="J8" s="38">
        <v>86247</v>
      </c>
      <c r="K8" s="38">
        <v>82092</v>
      </c>
      <c r="L8" s="38">
        <v>82358</v>
      </c>
      <c r="M8" s="38">
        <v>65762</v>
      </c>
      <c r="N8" s="38">
        <v>70610</v>
      </c>
      <c r="O8" s="38">
        <v>68624</v>
      </c>
      <c r="P8" s="38">
        <v>62793</v>
      </c>
      <c r="Q8" s="38">
        <v>60835</v>
      </c>
      <c r="R8" s="38">
        <v>40131</v>
      </c>
      <c r="S8" s="38">
        <v>48728</v>
      </c>
      <c r="T8" s="38">
        <v>44378</v>
      </c>
      <c r="U8" s="68">
        <v>42243</v>
      </c>
    </row>
    <row r="9" spans="1:22" x14ac:dyDescent="0.25">
      <c r="A9" s="40" t="s">
        <v>2</v>
      </c>
      <c r="B9" s="47">
        <f t="shared" si="0"/>
        <v>0.43513513513513513</v>
      </c>
      <c r="C9" s="79">
        <v>-529.39450000000011</v>
      </c>
      <c r="D9" s="38">
        <v>-391</v>
      </c>
      <c r="E9" s="43">
        <v>1062</v>
      </c>
      <c r="F9" s="38">
        <v>740</v>
      </c>
      <c r="G9" s="38">
        <v>1032</v>
      </c>
      <c r="H9" s="38">
        <v>751</v>
      </c>
      <c r="I9" s="38">
        <v>1894</v>
      </c>
      <c r="J9" s="38">
        <v>735</v>
      </c>
      <c r="K9" s="38">
        <v>1172</v>
      </c>
      <c r="L9" s="38">
        <v>1597</v>
      </c>
      <c r="M9" s="38">
        <v>904</v>
      </c>
      <c r="N9" s="38">
        <v>1153</v>
      </c>
      <c r="O9" s="38">
        <v>679</v>
      </c>
      <c r="P9" s="38">
        <v>347</v>
      </c>
      <c r="Q9" s="38">
        <v>789</v>
      </c>
      <c r="R9" s="38">
        <v>666</v>
      </c>
      <c r="S9" s="38">
        <v>597</v>
      </c>
      <c r="T9" s="38">
        <v>674</v>
      </c>
      <c r="U9" s="68">
        <v>1493</v>
      </c>
    </row>
    <row r="10" spans="1:22" x14ac:dyDescent="0.25">
      <c r="A10" s="40" t="s">
        <v>12</v>
      </c>
      <c r="B10" s="47">
        <f t="shared" si="0"/>
        <v>0.12679263576713667</v>
      </c>
      <c r="C10" s="79">
        <v>-2651.351999999999</v>
      </c>
      <c r="D10" s="38">
        <v>-3351</v>
      </c>
      <c r="E10" s="43">
        <v>16142.4313</v>
      </c>
      <c r="F10" s="38">
        <v>14326</v>
      </c>
      <c r="G10" s="38">
        <v>16729</v>
      </c>
      <c r="H10" s="38">
        <v>12389</v>
      </c>
      <c r="I10" s="38">
        <v>24958</v>
      </c>
      <c r="J10" s="38">
        <v>18142</v>
      </c>
      <c r="K10" s="38">
        <v>23962</v>
      </c>
      <c r="L10" s="38">
        <v>10899</v>
      </c>
      <c r="M10" s="38">
        <v>19839</v>
      </c>
      <c r="N10" s="38">
        <v>15119</v>
      </c>
      <c r="O10" s="38">
        <v>17994</v>
      </c>
      <c r="P10" s="38">
        <v>12865</v>
      </c>
      <c r="Q10" s="38">
        <v>22367</v>
      </c>
      <c r="R10" s="38">
        <v>12487</v>
      </c>
      <c r="S10" s="38">
        <v>17585</v>
      </c>
      <c r="T10" s="38">
        <v>19858</v>
      </c>
      <c r="U10" s="68">
        <v>19305</v>
      </c>
    </row>
    <row r="11" spans="1:22" x14ac:dyDescent="0.25">
      <c r="A11" s="40" t="s">
        <v>9</v>
      </c>
      <c r="B11" s="47">
        <f t="shared" si="0"/>
        <v>-0.27943685619126923</v>
      </c>
      <c r="C11" s="79">
        <v>-16309.39</v>
      </c>
      <c r="D11" s="38">
        <v>-9948</v>
      </c>
      <c r="E11" s="43">
        <v>36346.646099999998</v>
      </c>
      <c r="F11" s="38">
        <v>50442</v>
      </c>
      <c r="G11" s="38">
        <v>44714</v>
      </c>
      <c r="H11" s="38">
        <v>51841</v>
      </c>
      <c r="I11" s="38">
        <v>64454</v>
      </c>
      <c r="J11" s="38">
        <v>77569</v>
      </c>
      <c r="K11" s="38">
        <v>72774</v>
      </c>
      <c r="L11" s="38">
        <v>61676</v>
      </c>
      <c r="M11" s="38">
        <v>51789</v>
      </c>
      <c r="N11" s="38">
        <v>46823</v>
      </c>
      <c r="O11" s="38">
        <v>33473</v>
      </c>
      <c r="P11" s="38">
        <v>33492</v>
      </c>
      <c r="Q11" s="38">
        <v>40151</v>
      </c>
      <c r="R11" s="38">
        <v>27340</v>
      </c>
      <c r="S11" s="38">
        <v>31758</v>
      </c>
      <c r="T11" s="38">
        <v>45187</v>
      </c>
      <c r="U11" s="68">
        <v>35799</v>
      </c>
    </row>
    <row r="12" spans="1:22" x14ac:dyDescent="0.25">
      <c r="A12" s="40" t="s">
        <v>3</v>
      </c>
      <c r="B12" s="47">
        <f t="shared" si="0"/>
        <v>-0.19178423695941649</v>
      </c>
      <c r="C12" s="79">
        <v>-25065.116200000019</v>
      </c>
      <c r="D12" s="38">
        <v>-14354</v>
      </c>
      <c r="E12" s="43">
        <v>111682.48699999999</v>
      </c>
      <c r="F12" s="38">
        <v>138184</v>
      </c>
      <c r="G12" s="38">
        <v>138332</v>
      </c>
      <c r="H12" s="38">
        <v>109774</v>
      </c>
      <c r="I12" s="38">
        <v>129195</v>
      </c>
      <c r="J12" s="38">
        <v>115152</v>
      </c>
      <c r="K12" s="38">
        <v>170726</v>
      </c>
      <c r="L12" s="38">
        <v>140014</v>
      </c>
      <c r="M12" s="38">
        <v>152696</v>
      </c>
      <c r="N12" s="38">
        <v>173162</v>
      </c>
      <c r="O12" s="38">
        <v>176217</v>
      </c>
      <c r="P12" s="38">
        <v>167898</v>
      </c>
      <c r="Q12" s="38">
        <v>205985</v>
      </c>
      <c r="R12" s="38">
        <v>103686</v>
      </c>
      <c r="S12" s="38">
        <v>176223</v>
      </c>
      <c r="T12" s="38">
        <v>193495</v>
      </c>
      <c r="U12" s="68">
        <v>201605</v>
      </c>
    </row>
    <row r="13" spans="1:22" x14ac:dyDescent="0.25">
      <c r="A13" s="40" t="s">
        <v>135</v>
      </c>
      <c r="B13" s="47">
        <f t="shared" si="0"/>
        <v>-7.034430661577605E-2</v>
      </c>
      <c r="C13" s="79">
        <v>-779.95550000000003</v>
      </c>
      <c r="D13" s="38">
        <v>-174</v>
      </c>
      <c r="E13" s="43">
        <v>2922.8375000000001</v>
      </c>
      <c r="F13" s="38">
        <v>3144</v>
      </c>
      <c r="G13" s="38">
        <v>3052</v>
      </c>
      <c r="H13" s="38">
        <v>2269</v>
      </c>
      <c r="I13" s="38">
        <v>2966</v>
      </c>
      <c r="J13" s="38">
        <v>2496</v>
      </c>
      <c r="K13" s="38">
        <v>2787</v>
      </c>
      <c r="L13" s="38">
        <v>2138</v>
      </c>
      <c r="M13" s="38">
        <v>1895</v>
      </c>
      <c r="N13" s="38">
        <v>1690</v>
      </c>
      <c r="O13" s="38">
        <v>2142</v>
      </c>
      <c r="P13" s="38">
        <v>1900</v>
      </c>
      <c r="Q13" s="38">
        <v>2676</v>
      </c>
      <c r="R13" s="38">
        <v>1764</v>
      </c>
      <c r="S13" s="38">
        <v>2399</v>
      </c>
      <c r="T13" s="38">
        <v>1876</v>
      </c>
      <c r="U13" s="68">
        <v>1681</v>
      </c>
    </row>
    <row r="14" spans="1:22" x14ac:dyDescent="0.25">
      <c r="A14" s="40" t="s">
        <v>17</v>
      </c>
      <c r="B14" s="47">
        <f t="shared" si="0"/>
        <v>0.28947891241414542</v>
      </c>
      <c r="C14" s="79">
        <v>-10584.710400000004</v>
      </c>
      <c r="D14" s="38">
        <v>-8199</v>
      </c>
      <c r="E14" s="43">
        <v>45433.5</v>
      </c>
      <c r="F14" s="38">
        <v>35234</v>
      </c>
      <c r="G14" s="38">
        <v>39043</v>
      </c>
      <c r="H14" s="38">
        <v>45957</v>
      </c>
      <c r="I14" s="38">
        <v>46386</v>
      </c>
      <c r="J14" s="38">
        <v>53624</v>
      </c>
      <c r="K14" s="38">
        <v>54084</v>
      </c>
      <c r="L14" s="38">
        <v>51151</v>
      </c>
      <c r="M14" s="38">
        <v>55666</v>
      </c>
      <c r="N14" s="38">
        <v>48541</v>
      </c>
      <c r="O14" s="38">
        <v>66270</v>
      </c>
      <c r="P14" s="38">
        <v>51243</v>
      </c>
      <c r="Q14" s="38">
        <v>68360</v>
      </c>
      <c r="R14" s="38">
        <v>41981</v>
      </c>
      <c r="S14" s="38">
        <v>57074</v>
      </c>
      <c r="T14" s="38">
        <v>54239</v>
      </c>
      <c r="U14" s="68">
        <v>53277</v>
      </c>
    </row>
    <row r="15" spans="1:22" x14ac:dyDescent="0.25">
      <c r="A15" s="40" t="s">
        <v>127</v>
      </c>
      <c r="B15" s="47">
        <f t="shared" si="0"/>
        <v>-0.46649239543726234</v>
      </c>
      <c r="C15" s="79">
        <v>-36.367099999999937</v>
      </c>
      <c r="D15" s="38">
        <v>-235</v>
      </c>
      <c r="E15" s="43">
        <v>2245</v>
      </c>
      <c r="F15" s="38">
        <v>4208</v>
      </c>
      <c r="G15" s="38">
        <v>7106</v>
      </c>
      <c r="H15" s="38">
        <v>5899</v>
      </c>
      <c r="I15" s="38">
        <v>8456</v>
      </c>
      <c r="J15" s="38">
        <v>880</v>
      </c>
      <c r="K15" s="38">
        <v>5486</v>
      </c>
      <c r="L15" s="38">
        <v>2937</v>
      </c>
      <c r="M15" s="38">
        <v>3072</v>
      </c>
      <c r="N15" s="38">
        <v>4247</v>
      </c>
      <c r="O15" s="38">
        <v>2875</v>
      </c>
      <c r="P15" s="38">
        <v>6484</v>
      </c>
      <c r="Q15" s="38">
        <v>5221</v>
      </c>
      <c r="R15" s="38">
        <v>2901</v>
      </c>
      <c r="S15" s="38">
        <v>329</v>
      </c>
      <c r="T15" s="38">
        <v>2760</v>
      </c>
      <c r="U15" s="68">
        <v>694</v>
      </c>
    </row>
    <row r="16" spans="1:22" hidden="1" x14ac:dyDescent="0.25">
      <c r="A16" s="40" t="s">
        <v>10</v>
      </c>
      <c r="B16" s="47" t="str">
        <f t="shared" si="0"/>
        <v/>
      </c>
      <c r="C16" s="79">
        <v>0</v>
      </c>
      <c r="D16" s="38">
        <v>0</v>
      </c>
      <c r="E16" s="43"/>
      <c r="F16" s="38"/>
      <c r="G16" s="38"/>
      <c r="H16" s="38"/>
      <c r="I16" s="38"/>
      <c r="J16" s="38">
        <v>1154</v>
      </c>
      <c r="K16" s="38">
        <v>1193</v>
      </c>
      <c r="L16" s="38">
        <v>1321</v>
      </c>
      <c r="M16" s="38">
        <v>631</v>
      </c>
      <c r="N16" s="38">
        <v>912</v>
      </c>
      <c r="O16" s="38">
        <v>1644</v>
      </c>
      <c r="P16" s="38">
        <v>819</v>
      </c>
      <c r="Q16" s="38">
        <v>1228</v>
      </c>
      <c r="R16" s="38">
        <v>902</v>
      </c>
      <c r="S16" s="38">
        <v>1681</v>
      </c>
      <c r="T16" s="38">
        <v>1570</v>
      </c>
      <c r="U16" s="68">
        <v>2093</v>
      </c>
      <c r="V16" s="1"/>
    </row>
    <row r="17" spans="1:22" x14ac:dyDescent="0.25">
      <c r="A17" s="40" t="s">
        <v>126</v>
      </c>
      <c r="B17" s="47">
        <f t="shared" si="0"/>
        <v>7.526650772573644E-2</v>
      </c>
      <c r="C17" s="79">
        <v>-2483.9506000000001</v>
      </c>
      <c r="D17" s="38">
        <v>-2010</v>
      </c>
      <c r="E17" s="43">
        <v>17815.015500000001</v>
      </c>
      <c r="F17" s="38">
        <v>16568</v>
      </c>
      <c r="G17" s="38">
        <v>18710</v>
      </c>
      <c r="H17" s="38">
        <v>20655</v>
      </c>
      <c r="I17" s="38">
        <v>26215</v>
      </c>
      <c r="J17" s="38">
        <v>15417</v>
      </c>
      <c r="K17" s="38">
        <v>17752</v>
      </c>
      <c r="L17" s="38">
        <v>12359</v>
      </c>
      <c r="M17" s="38">
        <v>13803</v>
      </c>
      <c r="N17" s="38">
        <v>8722</v>
      </c>
      <c r="O17" s="38">
        <v>8976</v>
      </c>
      <c r="P17" s="38">
        <v>7193</v>
      </c>
      <c r="Q17" s="38">
        <v>6310</v>
      </c>
      <c r="R17" s="38">
        <v>3512</v>
      </c>
      <c r="S17" s="38">
        <v>6887</v>
      </c>
      <c r="T17" s="38">
        <v>5158</v>
      </c>
      <c r="U17" s="68">
        <v>8556</v>
      </c>
      <c r="V17" s="1"/>
    </row>
    <row r="18" spans="1:22" x14ac:dyDescent="0.25">
      <c r="A18" s="40" t="s">
        <v>26</v>
      </c>
      <c r="B18" s="47">
        <f t="shared" si="0"/>
        <v>0.10440701437689387</v>
      </c>
      <c r="C18" s="79">
        <v>-1491.1552999999985</v>
      </c>
      <c r="D18" s="38">
        <v>-1312</v>
      </c>
      <c r="E18" s="43">
        <v>17130.457200000001</v>
      </c>
      <c r="F18" s="38">
        <v>15511</v>
      </c>
      <c r="G18" s="38">
        <v>12628</v>
      </c>
      <c r="H18" s="38">
        <v>8041</v>
      </c>
      <c r="I18" s="38">
        <v>13750</v>
      </c>
      <c r="J18" s="38">
        <v>10854</v>
      </c>
      <c r="K18" s="38">
        <v>12303</v>
      </c>
      <c r="L18" s="38">
        <v>10849</v>
      </c>
      <c r="M18" s="38">
        <v>8559</v>
      </c>
      <c r="N18" s="38">
        <v>8516</v>
      </c>
      <c r="O18" s="38">
        <v>7912</v>
      </c>
      <c r="P18" s="38">
        <v>4056</v>
      </c>
      <c r="Q18" s="38">
        <v>6174</v>
      </c>
      <c r="R18" s="38">
        <v>2328</v>
      </c>
      <c r="S18" s="38">
        <v>5145</v>
      </c>
      <c r="T18" s="38">
        <v>6566</v>
      </c>
      <c r="U18" s="68">
        <v>9081</v>
      </c>
      <c r="V18" s="1"/>
    </row>
    <row r="19" spans="1:22" x14ac:dyDescent="0.25">
      <c r="A19" s="40" t="s">
        <v>118</v>
      </c>
      <c r="B19" s="47">
        <f t="shared" si="0"/>
        <v>7.7627450980392212E-2</v>
      </c>
      <c r="C19" s="79">
        <v>-19.739899999999992</v>
      </c>
      <c r="D19" s="38">
        <v>-157</v>
      </c>
      <c r="E19" s="43">
        <v>54.959000000000003</v>
      </c>
      <c r="F19" s="38">
        <v>51</v>
      </c>
      <c r="G19" s="38">
        <v>230</v>
      </c>
      <c r="H19" s="38">
        <v>72</v>
      </c>
      <c r="I19" s="38">
        <v>77</v>
      </c>
      <c r="J19" s="38">
        <v>200</v>
      </c>
      <c r="K19" s="38">
        <v>329</v>
      </c>
      <c r="L19" s="38">
        <v>372</v>
      </c>
      <c r="M19" s="38">
        <v>78</v>
      </c>
      <c r="N19" s="38">
        <v>71</v>
      </c>
      <c r="O19" s="38">
        <v>397</v>
      </c>
      <c r="P19" s="38">
        <v>30</v>
      </c>
      <c r="Q19" s="38">
        <v>164</v>
      </c>
      <c r="R19" s="38">
        <v>15</v>
      </c>
      <c r="S19" s="38">
        <v>344</v>
      </c>
      <c r="T19" s="38">
        <v>86</v>
      </c>
      <c r="U19" s="68">
        <v>518</v>
      </c>
    </row>
    <row r="20" spans="1:22" x14ac:dyDescent="0.25">
      <c r="A20" s="40" t="s">
        <v>86</v>
      </c>
      <c r="B20" s="47">
        <f t="shared" si="0"/>
        <v>5.6898357559333188E-2</v>
      </c>
      <c r="C20" s="79">
        <v>-4255.7290000000012</v>
      </c>
      <c r="D20" s="38">
        <v>-2419</v>
      </c>
      <c r="E20" s="43">
        <v>12869.8513</v>
      </c>
      <c r="F20" s="38">
        <v>12177</v>
      </c>
      <c r="G20" s="38">
        <v>11064</v>
      </c>
      <c r="H20" s="38">
        <v>12225</v>
      </c>
      <c r="I20" s="38">
        <v>13757</v>
      </c>
      <c r="J20" s="38">
        <v>11035</v>
      </c>
      <c r="K20" s="38">
        <v>11479</v>
      </c>
      <c r="L20" s="38">
        <v>10776</v>
      </c>
      <c r="M20" s="38">
        <v>9571</v>
      </c>
      <c r="N20" s="38">
        <v>8230</v>
      </c>
      <c r="O20" s="38">
        <v>10221</v>
      </c>
      <c r="P20" s="38">
        <v>9265</v>
      </c>
      <c r="Q20" s="38">
        <v>13431</v>
      </c>
      <c r="R20" s="38">
        <v>3256</v>
      </c>
      <c r="S20" s="38">
        <v>11207</v>
      </c>
      <c r="T20" s="38">
        <v>11366</v>
      </c>
      <c r="U20" s="68">
        <v>12108</v>
      </c>
    </row>
    <row r="21" spans="1:22" x14ac:dyDescent="0.25">
      <c r="A21" s="40" t="s">
        <v>125</v>
      </c>
      <c r="B21" s="47">
        <f t="shared" si="0"/>
        <v>-0.19060455549420216</v>
      </c>
      <c r="C21" s="79">
        <v>-2882.7394000000004</v>
      </c>
      <c r="D21" s="38">
        <v>-2434</v>
      </c>
      <c r="E21" s="43">
        <v>5863.2605999999996</v>
      </c>
      <c r="F21" s="38">
        <v>7244</v>
      </c>
      <c r="G21" s="38">
        <v>6110</v>
      </c>
      <c r="H21" s="38">
        <v>6628</v>
      </c>
      <c r="I21" s="38">
        <v>10832</v>
      </c>
      <c r="J21" s="38">
        <v>12682</v>
      </c>
      <c r="K21" s="38">
        <v>18614</v>
      </c>
      <c r="L21" s="38">
        <v>12203</v>
      </c>
      <c r="M21" s="38">
        <v>13569</v>
      </c>
      <c r="N21" s="38">
        <v>10547</v>
      </c>
      <c r="O21" s="38">
        <v>12604</v>
      </c>
      <c r="P21" s="38">
        <v>9793</v>
      </c>
      <c r="Q21" s="38">
        <v>15968</v>
      </c>
      <c r="R21" s="38">
        <v>6287</v>
      </c>
      <c r="S21" s="38">
        <v>8172</v>
      </c>
      <c r="T21" s="38">
        <v>12200</v>
      </c>
      <c r="U21" s="68">
        <v>15624</v>
      </c>
    </row>
    <row r="22" spans="1:22" hidden="1" x14ac:dyDescent="0.25">
      <c r="A22" s="40" t="s">
        <v>114</v>
      </c>
      <c r="B22" s="47" t="str">
        <f t="shared" si="0"/>
        <v/>
      </c>
      <c r="C22" s="79">
        <v>0</v>
      </c>
      <c r="D22" s="38">
        <v>0</v>
      </c>
      <c r="E22" s="43"/>
      <c r="F22" s="38"/>
      <c r="G22" s="38"/>
      <c r="H22" s="38"/>
      <c r="I22" s="38"/>
      <c r="J22" s="38">
        <v>581</v>
      </c>
      <c r="K22" s="38">
        <v>1357</v>
      </c>
      <c r="L22" s="38">
        <v>774</v>
      </c>
      <c r="M22" s="38">
        <v>372</v>
      </c>
      <c r="N22" s="38">
        <v>166</v>
      </c>
      <c r="O22" s="38">
        <v>921</v>
      </c>
      <c r="P22" s="38">
        <v>233</v>
      </c>
      <c r="Q22" s="38">
        <v>1277</v>
      </c>
      <c r="R22" s="38">
        <v>454</v>
      </c>
      <c r="S22" s="38">
        <v>833</v>
      </c>
      <c r="T22" s="38">
        <v>777</v>
      </c>
      <c r="U22" s="68">
        <v>1726</v>
      </c>
    </row>
    <row r="23" spans="1:22" hidden="1" x14ac:dyDescent="0.25">
      <c r="A23" s="40" t="s">
        <v>128</v>
      </c>
      <c r="B23" s="47" t="str">
        <f t="shared" si="0"/>
        <v/>
      </c>
      <c r="C23" s="79">
        <v>0</v>
      </c>
      <c r="D23" s="38">
        <v>0</v>
      </c>
      <c r="E23" s="43"/>
      <c r="F23" s="38"/>
      <c r="G23" s="38"/>
      <c r="H23" s="38"/>
      <c r="I23" s="38"/>
      <c r="J23" s="38">
        <v>10154</v>
      </c>
      <c r="K23" s="38">
        <v>10172</v>
      </c>
      <c r="L23" s="38">
        <v>9778</v>
      </c>
      <c r="M23" s="38">
        <v>7678</v>
      </c>
      <c r="N23" s="38">
        <v>5780</v>
      </c>
      <c r="O23" s="38">
        <v>5305</v>
      </c>
      <c r="P23" s="38">
        <v>6968</v>
      </c>
      <c r="Q23" s="38">
        <v>6758</v>
      </c>
      <c r="R23" s="38">
        <v>5161</v>
      </c>
      <c r="S23" s="38">
        <v>6335</v>
      </c>
      <c r="T23" s="38">
        <v>6146</v>
      </c>
      <c r="U23" s="68">
        <v>6393</v>
      </c>
    </row>
    <row r="24" spans="1:22" x14ac:dyDescent="0.25">
      <c r="A24" s="40" t="s">
        <v>123</v>
      </c>
      <c r="B24" s="47">
        <f t="shared" si="0"/>
        <v>0.10114136967155841</v>
      </c>
      <c r="C24" s="79">
        <v>-211.77649999999994</v>
      </c>
      <c r="D24" s="38">
        <v>-348</v>
      </c>
      <c r="E24" s="43">
        <v>1575.7333000000001</v>
      </c>
      <c r="F24" s="38">
        <v>1431</v>
      </c>
      <c r="G24" s="38">
        <v>14</v>
      </c>
      <c r="H24" s="38">
        <v>1980</v>
      </c>
      <c r="I24" s="38">
        <v>2029</v>
      </c>
      <c r="J24" s="38">
        <v>1813</v>
      </c>
      <c r="K24" s="38">
        <v>2381</v>
      </c>
      <c r="L24" s="38">
        <v>2643</v>
      </c>
      <c r="M24" s="38">
        <v>2413</v>
      </c>
      <c r="N24" s="38">
        <v>4262</v>
      </c>
      <c r="O24" s="38">
        <v>3730</v>
      </c>
      <c r="P24" s="38">
        <v>2888</v>
      </c>
      <c r="Q24" s="38">
        <v>5356</v>
      </c>
      <c r="R24" s="38">
        <v>3841</v>
      </c>
      <c r="S24" s="38">
        <v>3178</v>
      </c>
      <c r="T24" s="38">
        <v>3020</v>
      </c>
      <c r="U24" s="68">
        <v>3913</v>
      </c>
    </row>
    <row r="25" spans="1:22" ht="13.8" thickBot="1" x14ac:dyDescent="0.3">
      <c r="A25" s="41" t="s">
        <v>6</v>
      </c>
      <c r="B25" s="48">
        <f t="shared" si="0"/>
        <v>0.25258900115198685</v>
      </c>
      <c r="C25" s="134">
        <v>-9216.0288000000292</v>
      </c>
      <c r="D25" s="37">
        <v>-9166.7583000000013</v>
      </c>
      <c r="E25" s="44">
        <v>83983.89009999999</v>
      </c>
      <c r="F25" s="37">
        <v>67048.241699999999</v>
      </c>
      <c r="G25" s="37">
        <v>61466</v>
      </c>
      <c r="H25" s="37">
        <v>52282</v>
      </c>
      <c r="I25" s="37">
        <v>24448</v>
      </c>
      <c r="J25" s="37">
        <v>16057</v>
      </c>
      <c r="K25" s="37">
        <v>9280</v>
      </c>
      <c r="L25" s="37">
        <v>5687</v>
      </c>
      <c r="M25" s="37">
        <v>3876</v>
      </c>
      <c r="N25" s="37">
        <v>3851</v>
      </c>
      <c r="O25" s="37">
        <v>3316</v>
      </c>
      <c r="P25" s="37">
        <v>2448</v>
      </c>
      <c r="Q25" s="37">
        <v>7926</v>
      </c>
      <c r="R25" s="37">
        <v>5075</v>
      </c>
      <c r="S25" s="37">
        <v>3572</v>
      </c>
      <c r="T25" s="37">
        <v>3584</v>
      </c>
      <c r="U25" s="69">
        <v>4547</v>
      </c>
    </row>
    <row r="26" spans="1:22" ht="13.8" thickBot="1" x14ac:dyDescent="0.3">
      <c r="A26" s="39" t="s">
        <v>90</v>
      </c>
      <c r="B26" s="82">
        <f t="shared" si="0"/>
        <v>1.4372969863341549E-2</v>
      </c>
      <c r="C26" s="52">
        <v>-115473.51890000014</v>
      </c>
      <c r="D26" s="94">
        <v>-90464.758299999987</v>
      </c>
      <c r="E26" s="130">
        <f t="shared" ref="E26" si="1">SUM(E2:E25)</f>
        <v>537231.44309999992</v>
      </c>
      <c r="F26" s="94">
        <f t="shared" ref="F26:N26" si="2">SUM(F2:F25)</f>
        <v>529619.24170000001</v>
      </c>
      <c r="G26" s="94">
        <f t="shared" si="2"/>
        <v>514309</v>
      </c>
      <c r="H26" s="94">
        <f t="shared" si="2"/>
        <v>460535</v>
      </c>
      <c r="I26" s="94">
        <f t="shared" si="2"/>
        <v>484865</v>
      </c>
      <c r="J26" s="94">
        <f t="shared" si="2"/>
        <v>479065</v>
      </c>
      <c r="K26" s="94">
        <f t="shared" si="2"/>
        <v>554401</v>
      </c>
      <c r="L26" s="94">
        <f t="shared" si="2"/>
        <v>468368</v>
      </c>
      <c r="M26" s="94">
        <f t="shared" si="2"/>
        <v>457446</v>
      </c>
      <c r="N26" s="46">
        <f t="shared" si="2"/>
        <v>468092</v>
      </c>
      <c r="O26" s="46">
        <f t="shared" ref="O26:U26" si="3">SUM(O2:O25)</f>
        <v>480183</v>
      </c>
      <c r="P26" s="46">
        <f t="shared" si="3"/>
        <v>431513</v>
      </c>
      <c r="Q26" s="46">
        <f t="shared" si="3"/>
        <v>542997</v>
      </c>
      <c r="R26" s="46">
        <f t="shared" si="3"/>
        <v>298285</v>
      </c>
      <c r="S26" s="46">
        <f t="shared" si="3"/>
        <v>455954</v>
      </c>
      <c r="T26" s="46">
        <f t="shared" si="3"/>
        <v>484852</v>
      </c>
      <c r="U26" s="97">
        <f t="shared" si="3"/>
        <v>505923</v>
      </c>
    </row>
    <row r="28" spans="1:22" s="53" customFormat="1" ht="13.8" thickBot="1" x14ac:dyDescent="0.3">
      <c r="A28" s="81"/>
    </row>
    <row r="29" spans="1:22" s="53" customFormat="1" ht="13.8" thickBot="1" x14ac:dyDescent="0.3">
      <c r="A29" s="39" t="s">
        <v>23</v>
      </c>
      <c r="B29" s="24" t="s">
        <v>172</v>
      </c>
      <c r="C29" s="49" t="s">
        <v>179</v>
      </c>
      <c r="D29" s="83" t="s">
        <v>173</v>
      </c>
      <c r="E29" s="159">
        <v>46054</v>
      </c>
      <c r="F29" s="86">
        <v>45689</v>
      </c>
      <c r="G29" s="86">
        <v>45323</v>
      </c>
      <c r="H29" s="86">
        <v>44958</v>
      </c>
      <c r="I29" s="86">
        <v>44593</v>
      </c>
      <c r="J29" s="86">
        <v>44228</v>
      </c>
      <c r="K29" s="86">
        <v>43862</v>
      </c>
      <c r="L29" s="86">
        <v>43497</v>
      </c>
      <c r="M29" s="86">
        <v>43132</v>
      </c>
      <c r="N29" s="25">
        <v>42767</v>
      </c>
      <c r="O29" s="25">
        <v>42401</v>
      </c>
      <c r="P29" s="25">
        <v>42036</v>
      </c>
      <c r="Q29" s="25">
        <v>41671</v>
      </c>
      <c r="R29" s="25">
        <v>41306</v>
      </c>
      <c r="S29" s="25">
        <v>40940</v>
      </c>
      <c r="T29" s="25">
        <v>40575</v>
      </c>
      <c r="U29" s="26">
        <v>40210</v>
      </c>
    </row>
    <row r="30" spans="1:22" x14ac:dyDescent="0.25">
      <c r="A30" s="56" t="s">
        <v>136</v>
      </c>
      <c r="B30" s="47">
        <f t="shared" ref="B30:B38" si="4">IFERROR(((E30-F30)/F30),"")</f>
        <v>8.6954755773676423E-2</v>
      </c>
      <c r="C30" s="79">
        <v>-395.81999999999971</v>
      </c>
      <c r="D30" s="38">
        <v>-518.92389999999978</v>
      </c>
      <c r="E30" s="43">
        <v>3481.5988000000002</v>
      </c>
      <c r="F30" s="38">
        <v>3203.0761000000002</v>
      </c>
      <c r="G30" s="38">
        <v>2878</v>
      </c>
      <c r="H30" s="38">
        <v>666</v>
      </c>
      <c r="I30" s="38">
        <v>1718</v>
      </c>
      <c r="J30" s="38">
        <v>2784</v>
      </c>
      <c r="K30" s="38">
        <v>1225</v>
      </c>
      <c r="L30" s="38">
        <v>1441</v>
      </c>
      <c r="M30" s="38">
        <v>1653</v>
      </c>
      <c r="N30" s="107">
        <v>1874</v>
      </c>
      <c r="O30" s="107">
        <v>1875</v>
      </c>
      <c r="P30" s="107">
        <v>3055</v>
      </c>
      <c r="Q30" s="107">
        <v>2734</v>
      </c>
      <c r="R30" s="107">
        <v>1411</v>
      </c>
      <c r="S30" s="107">
        <v>3077</v>
      </c>
      <c r="T30" s="107"/>
      <c r="U30" s="103">
        <v>2422</v>
      </c>
    </row>
    <row r="31" spans="1:22" hidden="1" x14ac:dyDescent="0.25">
      <c r="A31" s="56" t="s">
        <v>137</v>
      </c>
      <c r="B31" s="47" t="str">
        <f t="shared" si="4"/>
        <v/>
      </c>
      <c r="C31" s="79">
        <v>0</v>
      </c>
      <c r="D31" s="38">
        <v>0</v>
      </c>
      <c r="E31" s="43"/>
      <c r="F31" s="38"/>
      <c r="G31" s="38"/>
      <c r="H31" s="38"/>
      <c r="I31" s="38"/>
      <c r="J31" s="38"/>
      <c r="K31" s="38"/>
      <c r="L31" s="38">
        <v>0</v>
      </c>
      <c r="M31" s="38">
        <v>0</v>
      </c>
      <c r="N31" s="107">
        <v>0</v>
      </c>
      <c r="O31" s="107">
        <v>0</v>
      </c>
      <c r="P31" s="107">
        <v>0</v>
      </c>
      <c r="Q31" s="107">
        <v>0</v>
      </c>
      <c r="R31" s="107">
        <v>0</v>
      </c>
      <c r="S31" s="107">
        <v>0</v>
      </c>
      <c r="T31" s="107"/>
      <c r="U31" s="103">
        <v>0</v>
      </c>
    </row>
    <row r="32" spans="1:22" x14ac:dyDescent="0.25">
      <c r="A32" s="56" t="s">
        <v>7</v>
      </c>
      <c r="B32" s="47">
        <f t="shared" si="4"/>
        <v>0.29983413085204796</v>
      </c>
      <c r="C32" s="79">
        <v>-1570.2570999999998</v>
      </c>
      <c r="D32" s="38">
        <v>-1699.4753999999998</v>
      </c>
      <c r="E32" s="43">
        <v>2891.5129999999999</v>
      </c>
      <c r="F32" s="38">
        <v>2224.5246000000002</v>
      </c>
      <c r="G32" s="38">
        <v>1959</v>
      </c>
      <c r="H32" s="38">
        <v>1524</v>
      </c>
      <c r="I32" s="38">
        <v>1472</v>
      </c>
      <c r="J32" s="38">
        <v>2901</v>
      </c>
      <c r="K32" s="38">
        <v>2751</v>
      </c>
      <c r="L32" s="38">
        <v>2879</v>
      </c>
      <c r="M32" s="38">
        <v>2694</v>
      </c>
      <c r="N32" s="38">
        <v>1841</v>
      </c>
      <c r="O32" s="38">
        <v>2550</v>
      </c>
      <c r="P32" s="38">
        <v>1674</v>
      </c>
      <c r="Q32">
        <v>936</v>
      </c>
      <c r="R32">
        <v>585</v>
      </c>
      <c r="S32" s="38">
        <v>2959</v>
      </c>
      <c r="T32" s="38"/>
      <c r="U32" s="68">
        <v>1968</v>
      </c>
    </row>
    <row r="33" spans="1:21" x14ac:dyDescent="0.25">
      <c r="A33" s="56" t="s">
        <v>91</v>
      </c>
      <c r="B33" s="47">
        <f t="shared" si="4"/>
        <v>-7.4108430406771994E-2</v>
      </c>
      <c r="C33" s="79">
        <v>-1622.0999000000002</v>
      </c>
      <c r="D33" s="38">
        <v>-871.39840000000004</v>
      </c>
      <c r="E33" s="43">
        <v>474.61349999999999</v>
      </c>
      <c r="F33" s="38">
        <v>512.60159999999996</v>
      </c>
      <c r="G33" s="38">
        <v>372</v>
      </c>
      <c r="H33" s="38">
        <v>531</v>
      </c>
      <c r="I33" s="38">
        <v>364</v>
      </c>
      <c r="J33" s="38">
        <v>587</v>
      </c>
      <c r="K33" s="38">
        <v>485</v>
      </c>
      <c r="L33" s="38">
        <v>1137</v>
      </c>
      <c r="M33" s="38">
        <v>661</v>
      </c>
      <c r="N33" s="38">
        <v>624</v>
      </c>
      <c r="O33">
        <v>848</v>
      </c>
      <c r="P33">
        <v>647</v>
      </c>
      <c r="Q33">
        <v>508</v>
      </c>
      <c r="R33">
        <v>34</v>
      </c>
      <c r="S33">
        <v>748</v>
      </c>
      <c r="T33" s="38"/>
      <c r="U33" s="68">
        <v>811</v>
      </c>
    </row>
    <row r="34" spans="1:21" hidden="1" x14ac:dyDescent="0.25">
      <c r="A34" s="56" t="s">
        <v>138</v>
      </c>
      <c r="B34" s="47" t="str">
        <f t="shared" si="4"/>
        <v/>
      </c>
      <c r="C34" s="79">
        <v>0</v>
      </c>
      <c r="D34" s="38">
        <v>0</v>
      </c>
      <c r="E34" s="43"/>
      <c r="F34" s="38"/>
      <c r="G34" s="38"/>
      <c r="H34" s="38"/>
      <c r="I34" s="38"/>
      <c r="J34" s="38"/>
      <c r="K34" s="38"/>
      <c r="L34" s="38">
        <v>0</v>
      </c>
      <c r="M34" s="38">
        <v>0</v>
      </c>
      <c r="N34" s="107">
        <v>0</v>
      </c>
      <c r="O34" s="107">
        <v>0</v>
      </c>
      <c r="P34" s="107">
        <v>0</v>
      </c>
      <c r="Q34" s="107">
        <v>0</v>
      </c>
      <c r="R34" s="107">
        <v>0</v>
      </c>
      <c r="S34" s="107">
        <v>0</v>
      </c>
      <c r="T34" s="38"/>
      <c r="U34" s="68">
        <v>0</v>
      </c>
    </row>
    <row r="35" spans="1:21" x14ac:dyDescent="0.25">
      <c r="A35" s="56" t="s">
        <v>139</v>
      </c>
      <c r="B35" s="47">
        <f t="shared" si="4"/>
        <v>-0.65019062772626868</v>
      </c>
      <c r="C35" s="79">
        <v>-432.20660000000004</v>
      </c>
      <c r="D35" s="38">
        <v>-92.475900000000024</v>
      </c>
      <c r="E35" s="43">
        <v>92.183199999999999</v>
      </c>
      <c r="F35" s="38">
        <v>263.52409999999998</v>
      </c>
      <c r="G35" s="38">
        <v>192</v>
      </c>
      <c r="H35" s="38">
        <v>831</v>
      </c>
      <c r="I35" s="38">
        <v>40</v>
      </c>
      <c r="J35" s="38">
        <v>587</v>
      </c>
      <c r="K35" s="38">
        <v>630</v>
      </c>
      <c r="L35" s="38">
        <v>966</v>
      </c>
      <c r="M35" s="38">
        <v>672</v>
      </c>
      <c r="N35" s="38">
        <v>673</v>
      </c>
      <c r="O35">
        <v>915</v>
      </c>
      <c r="P35">
        <v>691</v>
      </c>
      <c r="Q35">
        <v>616</v>
      </c>
      <c r="R35">
        <v>506</v>
      </c>
      <c r="S35">
        <v>410</v>
      </c>
      <c r="T35" s="38"/>
      <c r="U35" s="68">
        <v>602</v>
      </c>
    </row>
    <row r="36" spans="1:21" hidden="1" x14ac:dyDescent="0.25">
      <c r="A36" s="56" t="s">
        <v>140</v>
      </c>
      <c r="B36" s="47" t="str">
        <f t="shared" si="4"/>
        <v/>
      </c>
      <c r="C36" s="79">
        <v>-1762.3888999999999</v>
      </c>
      <c r="D36" s="38">
        <v>-436</v>
      </c>
      <c r="E36" s="43"/>
      <c r="F36" s="38"/>
      <c r="G36" s="38"/>
      <c r="H36" s="38"/>
      <c r="I36" s="38"/>
      <c r="J36" s="38"/>
      <c r="K36" s="38">
        <v>92</v>
      </c>
      <c r="L36" s="38">
        <v>87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7</v>
      </c>
      <c r="T36" s="38"/>
      <c r="U36" s="68">
        <v>0</v>
      </c>
    </row>
    <row r="37" spans="1:21" ht="13.8" thickBot="1" x14ac:dyDescent="0.3">
      <c r="A37" s="60" t="s">
        <v>6</v>
      </c>
      <c r="B37" s="48">
        <f t="shared" si="4"/>
        <v>-0.27910989984888235</v>
      </c>
      <c r="C37" s="134">
        <v>-2101.2915000000003</v>
      </c>
      <c r="D37" s="37">
        <v>-2134.973</v>
      </c>
      <c r="E37" s="44">
        <v>2706.2408999999998</v>
      </c>
      <c r="F37" s="37">
        <v>3754.027</v>
      </c>
      <c r="G37" s="37">
        <v>300</v>
      </c>
      <c r="H37" s="37">
        <v>856</v>
      </c>
      <c r="I37" s="37">
        <v>161</v>
      </c>
      <c r="J37" s="37">
        <v>621</v>
      </c>
      <c r="K37" s="37">
        <v>213</v>
      </c>
      <c r="L37" s="37">
        <v>565</v>
      </c>
      <c r="M37" s="37">
        <v>326</v>
      </c>
      <c r="N37" s="37">
        <v>485</v>
      </c>
      <c r="O37" s="38">
        <v>20</v>
      </c>
      <c r="P37" s="38">
        <v>46</v>
      </c>
      <c r="Q37" s="38">
        <v>78</v>
      </c>
      <c r="R37" s="38">
        <v>87</v>
      </c>
      <c r="S37" s="38">
        <v>147</v>
      </c>
      <c r="T37" s="38"/>
      <c r="U37" s="68">
        <v>166</v>
      </c>
    </row>
    <row r="38" spans="1:21" ht="13.8" thickBot="1" x14ac:dyDescent="0.3">
      <c r="A38" s="39" t="s">
        <v>90</v>
      </c>
      <c r="B38" s="82">
        <f t="shared" si="4"/>
        <v>-3.129260059804246E-2</v>
      </c>
      <c r="C38" s="52">
        <v>-7884.0639999999985</v>
      </c>
      <c r="D38" s="94">
        <v>-5753.2465999999986</v>
      </c>
      <c r="E38" s="130">
        <f t="shared" ref="E38" si="5">SUM(E30:E37)</f>
        <v>9646.1494000000021</v>
      </c>
      <c r="F38" s="94">
        <f t="shared" ref="F38:M38" si="6">SUM(F30:F37)</f>
        <v>9957.7534000000014</v>
      </c>
      <c r="G38" s="94">
        <f t="shared" si="6"/>
        <v>5701</v>
      </c>
      <c r="H38" s="94">
        <f t="shared" si="6"/>
        <v>4408</v>
      </c>
      <c r="I38" s="94">
        <f t="shared" si="6"/>
        <v>3755</v>
      </c>
      <c r="J38" s="94">
        <f t="shared" si="6"/>
        <v>7480</v>
      </c>
      <c r="K38" s="94">
        <f t="shared" si="6"/>
        <v>5396</v>
      </c>
      <c r="L38" s="94">
        <f t="shared" si="6"/>
        <v>7075</v>
      </c>
      <c r="M38" s="94">
        <f t="shared" si="6"/>
        <v>6006</v>
      </c>
      <c r="N38" s="34">
        <f t="shared" ref="N38:S38" si="7">SUM(N30:N37)</f>
        <v>5497</v>
      </c>
      <c r="O38" s="46">
        <f t="shared" si="7"/>
        <v>6208</v>
      </c>
      <c r="P38" s="46">
        <f t="shared" si="7"/>
        <v>6113</v>
      </c>
      <c r="Q38" s="46">
        <f t="shared" si="7"/>
        <v>4872</v>
      </c>
      <c r="R38" s="46">
        <f t="shared" si="7"/>
        <v>2623</v>
      </c>
      <c r="S38" s="46">
        <f t="shared" si="7"/>
        <v>7348</v>
      </c>
      <c r="T38" s="46"/>
      <c r="U38" s="97">
        <f>SUM(U30:U37)</f>
        <v>5969</v>
      </c>
    </row>
  </sheetData>
  <conditionalFormatting sqref="E1">
    <cfRule type="expression" dxfId="15" priority="3">
      <formula>ISBLANK(XFD1)=FALSE</formula>
    </cfRule>
  </conditionalFormatting>
  <conditionalFormatting sqref="E29">
    <cfRule type="expression" dxfId="14" priority="1">
      <formula>ISBLANK(XFD29)=FALSE</formula>
    </cfRule>
  </conditionalFormatting>
  <pageMargins left="0.75" right="0.75" top="1" bottom="1" header="0.5" footer="0.5"/>
  <pageSetup paperSize="9" scale="66" fitToHeight="3" orientation="landscape"/>
  <headerFooter alignWithMargins="0"/>
  <ignoredErrors>
    <ignoredError sqref="H26:U2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5a9754-d989-458f-8bd1-64889b46f6fa">
      <Terms xmlns="http://schemas.microsoft.com/office/infopath/2007/PartnerControls"/>
    </lcf76f155ced4ddcb4097134ff3c332f>
    <TaxCatchAll xmlns="0302a5af-5ac8-462a-a23b-b4d1027da43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B941D97F322B428ECE0E94A7E9CB38" ma:contentTypeVersion="19" ma:contentTypeDescription="Create a new document." ma:contentTypeScope="" ma:versionID="236e16bdd5f4465509f8bd7fa7d81390">
  <xsd:schema xmlns:xsd="http://www.w3.org/2001/XMLSchema" xmlns:xs="http://www.w3.org/2001/XMLSchema" xmlns:p="http://schemas.microsoft.com/office/2006/metadata/properties" xmlns:ns2="5d5a9754-d989-458f-8bd1-64889b46f6fa" xmlns:ns3="0302a5af-5ac8-462a-a23b-b4d1027da431" targetNamespace="http://schemas.microsoft.com/office/2006/metadata/properties" ma:root="true" ma:fieldsID="14167898d1eea8b50dfb676641bd7e3c" ns2:_="" ns3:_="">
    <xsd:import namespace="5d5a9754-d989-458f-8bd1-64889b46f6fa"/>
    <xsd:import namespace="0302a5af-5ac8-462a-a23b-b4d1027da4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a9754-d989-458f-8bd1-64889b46f6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0e4ba69-e80c-4913-b477-8a96dcaffc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02a5af-5ac8-462a-a23b-b4d1027da43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86be234-e780-497d-b4dc-e60f5fc21a6b}" ma:internalName="TaxCatchAll" ma:showField="CatchAllData" ma:web="0302a5af-5ac8-462a-a23b-b4d1027da4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4FEFDF0F-985A-2641-9328-CD3150670C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1103D3-0000-48E0-A9A9-B4FB45075DE4}">
  <ds:schemaRefs>
    <ds:schemaRef ds:uri="http://purl.org/dc/elements/1.1/"/>
    <ds:schemaRef ds:uri="0302a5af-5ac8-462a-a23b-b4d1027da431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5d5a9754-d989-458f-8bd1-64889b46f6fa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944E03C-4AE2-41A7-8DAA-11BDA3DAC4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5a9754-d989-458f-8bd1-64889b46f6fa"/>
    <ds:schemaRef ds:uri="0302a5af-5ac8-462a-a23b-b4d1027da4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36B4164-3AF0-9248-ACB5-B1CF2FABEE3C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</vt:i4>
      </vt:variant>
    </vt:vector>
  </HeadingPairs>
  <TitlesOfParts>
    <vt:vector size="19" baseType="lpstr">
      <vt:lpstr>Intro</vt:lpstr>
      <vt:lpstr>US</vt:lpstr>
      <vt:lpstr>Europe - country</vt:lpstr>
      <vt:lpstr>Europe - variety</vt:lpstr>
      <vt:lpstr>Austria</vt:lpstr>
      <vt:lpstr>Belgium</vt:lpstr>
      <vt:lpstr>Czech Republic</vt:lpstr>
      <vt:lpstr>Denmark</vt:lpstr>
      <vt:lpstr>France</vt:lpstr>
      <vt:lpstr>Germany</vt:lpstr>
      <vt:lpstr>Italy</vt:lpstr>
      <vt:lpstr>Poland</vt:lpstr>
      <vt:lpstr>Portugal</vt:lpstr>
      <vt:lpstr>Spain</vt:lpstr>
      <vt:lpstr>Switzerland</vt:lpstr>
      <vt:lpstr>Netherlands</vt:lpstr>
      <vt:lpstr>UK</vt:lpstr>
      <vt:lpstr>'Europe - country'!Print_Area</vt:lpstr>
      <vt:lpstr>'Europe - variety'!Print_Area</vt:lpstr>
    </vt:vector>
  </TitlesOfParts>
  <Company>Freshfell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frederic</dc:creator>
  <cp:lastModifiedBy>Gil Kaufman</cp:lastModifiedBy>
  <cp:lastPrinted>2018-02-15T13:54:34Z</cp:lastPrinted>
  <dcterms:created xsi:type="dcterms:W3CDTF">2006-12-13T13:34:27Z</dcterms:created>
  <dcterms:modified xsi:type="dcterms:W3CDTF">2026-02-20T14:53:59Z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BUILTIN\Administrators</vt:lpwstr>
  </property>
  <property fmtid="{D5CDD505-2E9C-101B-9397-08002B2CF9AE}" pid="3" name="Order">
    <vt:lpwstr>423600.000000000</vt:lpwstr>
  </property>
  <property fmtid="{D5CDD505-2E9C-101B-9397-08002B2CF9AE}" pid="4" name="display_urn:schemas-microsoft-com:office:office#Author">
    <vt:lpwstr>BUILTIN\Administrators</vt:lpwstr>
  </property>
  <property fmtid="{D5CDD505-2E9C-101B-9397-08002B2CF9AE}" pid="5" name="MediaServiceImageTags">
    <vt:lpwstr/>
  </property>
  <property fmtid="{D5CDD505-2E9C-101B-9397-08002B2CF9AE}" pid="6" name="ContentTypeId">
    <vt:lpwstr>0x01010052B941D97F322B428ECE0E94A7E9CB38</vt:lpwstr>
  </property>
</Properties>
</file>